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01" activeTab="1"/>
  </bookViews>
  <sheets>
    <sheet name="príjmy" sheetId="1" r:id="rId1"/>
    <sheet name="výdavky" sheetId="2" r:id="rId2"/>
  </sheets>
  <definedNames>
    <definedName name="_xlnm.Print_Titles" localSheetId="0">'príjmy'!$2:$3</definedName>
    <definedName name="_xlnm.Print_Titles" localSheetId="1">'výdavky'!$1:$3</definedName>
  </definedNames>
  <calcPr fullCalcOnLoad="1"/>
</workbook>
</file>

<file path=xl/sharedStrings.xml><?xml version="1.0" encoding="utf-8"?>
<sst xmlns="http://schemas.openxmlformats.org/spreadsheetml/2006/main" count="367" uniqueCount="288">
  <si>
    <t>Daň z nehnuteľností - pozemky FO</t>
  </si>
  <si>
    <t>Daň z nehnuteľností - pozemky PO</t>
  </si>
  <si>
    <t>Daň z nehnuteľností - pozemky</t>
  </si>
  <si>
    <t>Daň z nehnuteľností - stavby FO</t>
  </si>
  <si>
    <t>Daň z nehnuteľností - stavby PO</t>
  </si>
  <si>
    <t>Daň z nehnuteľností - stavby</t>
  </si>
  <si>
    <t>Daň z nehnuteľností - byty</t>
  </si>
  <si>
    <t>Daň za psa</t>
  </si>
  <si>
    <t>Daň za užívanie verejného priestranstva</t>
  </si>
  <si>
    <t>Príjmy z prenájmu pozemkov</t>
  </si>
  <si>
    <t>Príjmy z prenájmu budov, priestorov a objektov</t>
  </si>
  <si>
    <t>Úroky z účtov finančného hospodárenia</t>
  </si>
  <si>
    <t>Kapitálové príjmy z predaja pozemkov a nehmotných aktív</t>
  </si>
  <si>
    <t>VÝDAVKY</t>
  </si>
  <si>
    <t>Prenesený výkon štátnej správy</t>
  </si>
  <si>
    <t>Poplatky bankám</t>
  </si>
  <si>
    <t>Transakcie verejného dlhu</t>
  </si>
  <si>
    <t>Civilná obrana</t>
  </si>
  <si>
    <t>Policajné služby</t>
  </si>
  <si>
    <t>Požiarna ochrana</t>
  </si>
  <si>
    <t>Geodetické, notárske služby, register obnovy</t>
  </si>
  <si>
    <t>Výstavba</t>
  </si>
  <si>
    <t>Cestovný ruch</t>
  </si>
  <si>
    <t>Náboženské a iné spoločenské služby</t>
  </si>
  <si>
    <t>Rekreácia, kultúra a náboženstvo inde neklasifikované</t>
  </si>
  <si>
    <t>Sociálne zabezpečenie - staroba</t>
  </si>
  <si>
    <t>Sociálne zabezpečenie - rodina a deti</t>
  </si>
  <si>
    <t>Sociálne zabezpečenie - dávky sociálnej pomoci</t>
  </si>
  <si>
    <t>Sociálne zabezpečenie inde neklasifikované</t>
  </si>
  <si>
    <t>Nákup výpočtovej techniky MsÚ</t>
  </si>
  <si>
    <t>Nákup pozemkov, majetkové vysporiadanie</t>
  </si>
  <si>
    <t>Finančné operácie</t>
  </si>
  <si>
    <t>Úroky z termínovaných vkladov</t>
  </si>
  <si>
    <t>v tom</t>
  </si>
  <si>
    <t>Nákup softvéru MsÚ</t>
  </si>
  <si>
    <t>Nákup interiéru budovy MsÚ, miestnych častí (výbory)</t>
  </si>
  <si>
    <t>Nedaňové príjmy</t>
  </si>
  <si>
    <t>Oddiel</t>
  </si>
  <si>
    <t>Popis výdavku</t>
  </si>
  <si>
    <t>01116</t>
  </si>
  <si>
    <t>Výdavky verejnej správy</t>
  </si>
  <si>
    <t>0112</t>
  </si>
  <si>
    <t>0133</t>
  </si>
  <si>
    <t>Matričná činnosť - dotácia</t>
  </si>
  <si>
    <t>0170</t>
  </si>
  <si>
    <t>0220</t>
  </si>
  <si>
    <t>0310</t>
  </si>
  <si>
    <t>0320</t>
  </si>
  <si>
    <t>0443</t>
  </si>
  <si>
    <t>0451</t>
  </si>
  <si>
    <t>Materiál a drobná architektúra - fólie, koše, stojany</t>
  </si>
  <si>
    <t>Údržba miestnych komunikácií - PTSM</t>
  </si>
  <si>
    <t>Nájom - parkoviská</t>
  </si>
  <si>
    <t>Tlačivá, tlač. služby, parkovacie karty, dopravné značky, tabule</t>
  </si>
  <si>
    <t>Zimná údržba - PTSM</t>
  </si>
  <si>
    <t>Dotácia MHD</t>
  </si>
  <si>
    <t>Cestná doprava</t>
  </si>
  <si>
    <t>0473</t>
  </si>
  <si>
    <t>0510</t>
  </si>
  <si>
    <t>Smetné nádoby - PTSM</t>
  </si>
  <si>
    <t>Údržba miestnych komun., čakárne, vodorovné dopr. značenie</t>
  </si>
  <si>
    <t>Uloženie KO - Ledrov</t>
  </si>
  <si>
    <t>Vývoz odpadu, separovaný zber, likvidácia čiernych skládok - PTSM</t>
  </si>
  <si>
    <t>Čistenie mesta, chodníky - PTSM</t>
  </si>
  <si>
    <t>Nakladanie s odpadmi, verejná zeleň</t>
  </si>
  <si>
    <t>0520</t>
  </si>
  <si>
    <t xml:space="preserve">Kanalizácia Horné Kočkovce - vlastné zdroje </t>
  </si>
  <si>
    <t>0530</t>
  </si>
  <si>
    <t>Kanalizácia, nakladanie s odpadovými vodami</t>
  </si>
  <si>
    <t>Znižovanie znečisťovania - vodné toky</t>
  </si>
  <si>
    <t>0620</t>
  </si>
  <si>
    <t>Verejno-prospešné práce</t>
  </si>
  <si>
    <t>Detské ihriská - PTSM</t>
  </si>
  <si>
    <t>Detské ihriská, lavičky, drobná architektúra</t>
  </si>
  <si>
    <t>Rozvoj obce</t>
  </si>
  <si>
    <t>0640</t>
  </si>
  <si>
    <t>Verejné osvetlenie</t>
  </si>
  <si>
    <t>Verejné osvetlenie - PTSM</t>
  </si>
  <si>
    <t>0660</t>
  </si>
  <si>
    <t>Drobné opravy mesto, miestne časti</t>
  </si>
  <si>
    <t>Údržba bytov a nebytových priestorov - MsBP</t>
  </si>
  <si>
    <t>Realizácia stavieb - Mestské divadlo</t>
  </si>
  <si>
    <t>Bývanie a občianska vybavenosť</t>
  </si>
  <si>
    <t>0810</t>
  </si>
  <si>
    <t>Rekreačné a športové služby</t>
  </si>
  <si>
    <t>08202</t>
  </si>
  <si>
    <t>Umelecké súbory</t>
  </si>
  <si>
    <t>08205</t>
  </si>
  <si>
    <t>Knižnica</t>
  </si>
  <si>
    <t>08206</t>
  </si>
  <si>
    <t>Múzeá a galérie</t>
  </si>
  <si>
    <t>08209</t>
  </si>
  <si>
    <t>Ostatné kultúrne služby - kultúrny dom, malý župný dom</t>
  </si>
  <si>
    <t>Ostatné kultúrne služby</t>
  </si>
  <si>
    <t>0830</t>
  </si>
  <si>
    <t>Vysiel. a vydav. služby, Medial, mestský rozhlas, inzercia</t>
  </si>
  <si>
    <t>0840</t>
  </si>
  <si>
    <t>ZPOZ, obradné siene, ošatné, dotácie</t>
  </si>
  <si>
    <t>Prevádzka cintorínov - PTSM</t>
  </si>
  <si>
    <t>0860</t>
  </si>
  <si>
    <t>Propagácia, jarmoky, akcie mesta - kultúra</t>
  </si>
  <si>
    <t>Propagácia, jarmoky, akcie mesta - zabezpečenie</t>
  </si>
  <si>
    <t>Vzdelávanie - predškolská výchova</t>
  </si>
  <si>
    <t>0912</t>
  </si>
  <si>
    <t>Vzdelávanie - základné vzdelanie</t>
  </si>
  <si>
    <t>09501</t>
  </si>
  <si>
    <t>Vzdelávanie - zariadenia pre záujmové vzdelávanie - ZUŠ</t>
  </si>
  <si>
    <t xml:space="preserve">Vzdelávanie - zariadenia pre záujmové vzdelávanie </t>
  </si>
  <si>
    <t>09502</t>
  </si>
  <si>
    <t>Vzdelávanie - Centrum voľného času</t>
  </si>
  <si>
    <t>0960</t>
  </si>
  <si>
    <t>Školský úrad - dotácia</t>
  </si>
  <si>
    <t>1020</t>
  </si>
  <si>
    <t>10202</t>
  </si>
  <si>
    <t>Sociálne zabezpečenie - staroba - opatrovateľská služba</t>
  </si>
  <si>
    <t>1030</t>
  </si>
  <si>
    <t>Sociálne zabezpečenie - pohrebné</t>
  </si>
  <si>
    <t>1040</t>
  </si>
  <si>
    <t>10405</t>
  </si>
  <si>
    <t>Sociálne zabezpečenie - rodinné prídavky - dotácia</t>
  </si>
  <si>
    <t>1070</t>
  </si>
  <si>
    <t>Soc. zabezp. - štipendium, stravné, učebné pom. - dotácia</t>
  </si>
  <si>
    <t>10701</t>
  </si>
  <si>
    <t>1090</t>
  </si>
  <si>
    <t>Transfery školstvo</t>
  </si>
  <si>
    <t>Splácanie domácej istiny - leasing</t>
  </si>
  <si>
    <t>Splácanie domácej istiny - ŠFRB</t>
  </si>
  <si>
    <t>Splácanie domácej istiny - bankové úvery</t>
  </si>
  <si>
    <t>Spolu</t>
  </si>
  <si>
    <t>Výnos z dane - daň z príjmov FO</t>
  </si>
  <si>
    <t>Daň z nehnuteľností - byty FO</t>
  </si>
  <si>
    <t>Daň z nehnuteľností - byty PO</t>
  </si>
  <si>
    <t>Poplatok za zber, prepravu a znešk.komunálnych odpadov</t>
  </si>
  <si>
    <t>Daňové príjmy</t>
  </si>
  <si>
    <t>Príjmy z prenájmu budov, priestorov a objektov - MsBP</t>
  </si>
  <si>
    <t>Príjmy z prenájmu budov, priestorov a objektov - MsBP-byty</t>
  </si>
  <si>
    <t xml:space="preserve">Príjmy z prenájmu zdravotníckeho zariadenia </t>
  </si>
  <si>
    <t>Správne poplatky</t>
  </si>
  <si>
    <t>Správne poplatky - matrika</t>
  </si>
  <si>
    <t>Správne poplatky - stavebné povolenia</t>
  </si>
  <si>
    <t>Správne poplatky - výherné hracie automaty</t>
  </si>
  <si>
    <t>Pokuty a penále v blokovom konaní - MsP</t>
  </si>
  <si>
    <t>Poplatky za predaj výrobkov a služieb - opatrovateľská služba</t>
  </si>
  <si>
    <t xml:space="preserve">Poplatky za predaj výrobkov a služieb </t>
  </si>
  <si>
    <t>Poplatok za znečisťovanie ovzdušia</t>
  </si>
  <si>
    <t>Ostatné príjmy - za výrub stromov</t>
  </si>
  <si>
    <t>Ostatné príjmy - z výťažkov z lotérií</t>
  </si>
  <si>
    <t>Tuzemské granty - územnoplánovacia dokumentácia - ŠR</t>
  </si>
  <si>
    <t>Transfery na rôznej úrovni - životné prostredie</t>
  </si>
  <si>
    <t>Transfery na rôznej úrovni - prídavky na deti</t>
  </si>
  <si>
    <t>Transfery na rôznej úrovni - školstvo</t>
  </si>
  <si>
    <t>Transfery na rôznej úrovni - doprava žiakov</t>
  </si>
  <si>
    <t>Transfery na rôznej úrovni - školský úrad</t>
  </si>
  <si>
    <t>Transfery na rôznej úrovni - ŠFRB</t>
  </si>
  <si>
    <t>Transfery na rôznej úrovni - školské potreby</t>
  </si>
  <si>
    <t>Transfery na rôznej úrovni - matrika</t>
  </si>
  <si>
    <t>Transfery na rôznej úrovni - SPaVK</t>
  </si>
  <si>
    <t>Transfery na rôznej úrovni - stravné pre deti zo soc. rodín</t>
  </si>
  <si>
    <t>Transfery na rôznej úrovni - vzdelávacie poukazy</t>
  </si>
  <si>
    <t>Transfery na rôznej úrovni - motivačný príspevok (soc. štipendium)</t>
  </si>
  <si>
    <t>Transfery na rôznej úrovni - absolventská prax a aktivačné</t>
  </si>
  <si>
    <t>Transfery na rôznej úrovni - register obyvateľstva</t>
  </si>
  <si>
    <t>Transfery na rôznej úrovni - verejno-prospešné práce</t>
  </si>
  <si>
    <t>Granty</t>
  </si>
  <si>
    <t>Transfery</t>
  </si>
  <si>
    <t>Spolu príjmy + finančné operácie</t>
  </si>
  <si>
    <t>Spolu výdavky + finančné operácie</t>
  </si>
  <si>
    <t>Rozdiel</t>
  </si>
  <si>
    <t>Údržba  WC a fontán - PTSM</t>
  </si>
  <si>
    <t>09111</t>
  </si>
  <si>
    <t>% plnenia</t>
  </si>
  <si>
    <t>Ul. Moravská - vnútroblok, ihrisko</t>
  </si>
  <si>
    <t>bežné</t>
  </si>
  <si>
    <t>kapitálové</t>
  </si>
  <si>
    <t>Príjmy za parkovanie</t>
  </si>
  <si>
    <t>Opravy - Hasičská zbrojnica Nosice</t>
  </si>
  <si>
    <t xml:space="preserve">v tom: </t>
  </si>
  <si>
    <t>Údržba verejnej zelene, materiál, výsadby, obnova zelene</t>
  </si>
  <si>
    <t>Komunikácia Moravská - Komenského</t>
  </si>
  <si>
    <t>Spoluúčasť na grantových programoch</t>
  </si>
  <si>
    <t>Nákup parkovacích automatov</t>
  </si>
  <si>
    <t>Ul. Štefánikova - štúdia</t>
  </si>
  <si>
    <t xml:space="preserve">Dvory - komunikácia - 1. etapa - projektová dokumentácia </t>
  </si>
  <si>
    <t>Projektové dokumentácie, územno-plánovacia dokumentácia</t>
  </si>
  <si>
    <t>Komunikácia Moravská - Námestie slobody, vnútroblok, parkoviská</t>
  </si>
  <si>
    <t>Poplatky za predaj výrobkov a služieb-knižnica, múzeum, kolumbárium</t>
  </si>
  <si>
    <t>Opravy - tepelné rozvody - školy</t>
  </si>
  <si>
    <t>Rozpočet mesta Púchov na rok 2008-2010 (v tis. Sk)</t>
  </si>
  <si>
    <t xml:space="preserve">Spolu </t>
  </si>
  <si>
    <t xml:space="preserve">PRÍJMY </t>
  </si>
  <si>
    <t>Návrh úpravy</t>
  </si>
  <si>
    <t>IBV pod Vodojemom - dokončenie sanačných prác</t>
  </si>
  <si>
    <t>Údržba WC - vodné stočné, + oprava WC v amfiteátri na Lachovci</t>
  </si>
  <si>
    <t>Vodné, stočné, opravy oplotenia cintorínov, ozvučenie cintorín HK</t>
  </si>
  <si>
    <t xml:space="preserve">Nákup objektu - kompostáreň </t>
  </si>
  <si>
    <t>Údržba verejnej zelene, prevádzka kompostárne - PTSM</t>
  </si>
  <si>
    <t>Nákup akcií F.I.N. MOS a.s.</t>
  </si>
  <si>
    <t>Vklad vlastne a zakladne imanie - Medial</t>
  </si>
  <si>
    <t>+-235</t>
  </si>
  <si>
    <r>
      <t xml:space="preserve">oprava zábradlia </t>
    </r>
    <r>
      <rPr>
        <b/>
        <sz val="8"/>
        <rFont val="Arial"/>
        <family val="2"/>
      </rPr>
      <t>ul. Komenského</t>
    </r>
    <r>
      <rPr>
        <sz val="8"/>
        <rFont val="Arial"/>
        <family val="2"/>
      </rPr>
      <t xml:space="preserve"> 150, odvodnenie garáží na </t>
    </r>
    <r>
      <rPr>
        <b/>
        <sz val="8"/>
        <rFont val="Arial"/>
        <family val="2"/>
      </rPr>
      <t>Nám. slobody</t>
    </r>
    <r>
      <rPr>
        <sz val="8"/>
        <rFont val="Arial"/>
        <family val="2"/>
      </rPr>
      <t xml:space="preserve"> 200, odvodnenie vnútrobloku </t>
    </r>
    <r>
      <rPr>
        <b/>
        <sz val="8"/>
        <rFont val="Arial"/>
        <family val="2"/>
      </rPr>
      <t>ul. F. Urbánka</t>
    </r>
    <r>
      <rPr>
        <sz val="8"/>
        <rFont val="Arial"/>
        <family val="2"/>
      </rPr>
      <t xml:space="preserve"> 150</t>
    </r>
  </si>
  <si>
    <t>informačné tabule, orientačný systém</t>
  </si>
  <si>
    <t>úpravy priestorov v SOV pre DK</t>
  </si>
  <si>
    <t>presun prostriedkov z MŠK na hádzanársky klub (prenájom VŠH)</t>
  </si>
  <si>
    <t>Plnenie k 31.12.2008</t>
  </si>
  <si>
    <t xml:space="preserve">Projekt - dopravný uzol </t>
  </si>
  <si>
    <t>Nákup osobných automobilov</t>
  </si>
  <si>
    <t>Dvory - komunikácia, inžinierske siete - spoluúčasť + ŠFRB</t>
  </si>
  <si>
    <t>Finančné operácie - príjem z prevodov z peňažných fondov - RF</t>
  </si>
  <si>
    <t>Finančné operácie - príjem z prevodov z peňažných fondov - FRB</t>
  </si>
  <si>
    <t>Finančné operácie - príjem úveru Dexia</t>
  </si>
  <si>
    <t>0610</t>
  </si>
  <si>
    <r>
      <t xml:space="preserve">údržba miestnych komunikácií: </t>
    </r>
    <r>
      <rPr>
        <b/>
        <sz val="8"/>
        <rFont val="Arial"/>
        <family val="2"/>
      </rPr>
      <t>Hrabovka - l. Riečna</t>
    </r>
    <r>
      <rPr>
        <sz val="8"/>
        <rFont val="Arial"/>
        <family val="2"/>
      </rPr>
      <t xml:space="preserve"> 1500, </t>
    </r>
    <r>
      <rPr>
        <b/>
        <sz val="8"/>
        <rFont val="Arial"/>
        <family val="2"/>
      </rPr>
      <t>Horné Kočkovce chodníky</t>
    </r>
    <r>
      <rPr>
        <sz val="8"/>
        <rFont val="Arial"/>
        <family val="2"/>
      </rPr>
      <t xml:space="preserve"> 1600, </t>
    </r>
    <r>
      <rPr>
        <b/>
        <sz val="8"/>
        <rFont val="Arial"/>
        <family val="2"/>
      </rPr>
      <t>parkoviská Sedlište, Makyta</t>
    </r>
    <r>
      <rPr>
        <sz val="8"/>
        <rFont val="Arial"/>
        <family val="2"/>
      </rPr>
      <t xml:space="preserve"> 600, </t>
    </r>
    <r>
      <rPr>
        <b/>
        <sz val="8"/>
        <rFont val="Arial"/>
        <family val="2"/>
      </rPr>
      <t>sídlisko pri Makyte chodníky</t>
    </r>
    <r>
      <rPr>
        <sz val="8"/>
        <rFont val="Arial"/>
        <family val="2"/>
      </rPr>
      <t xml:space="preserve"> 500, </t>
    </r>
    <r>
      <rPr>
        <b/>
        <sz val="8"/>
        <rFont val="Arial"/>
        <family val="2"/>
      </rPr>
      <t>Vieska - cesta k cintorínu</t>
    </r>
    <r>
      <rPr>
        <sz val="8"/>
        <rFont val="Arial"/>
        <family val="2"/>
      </rPr>
      <t xml:space="preserve"> 250, </t>
    </r>
    <r>
      <rPr>
        <b/>
        <sz val="8"/>
        <rFont val="Arial"/>
        <family val="2"/>
      </rPr>
      <t>Hoština - cesta pri KD</t>
    </r>
    <r>
      <rPr>
        <sz val="8"/>
        <rFont val="Arial"/>
        <family val="2"/>
      </rPr>
      <t xml:space="preserve"> 250, </t>
    </r>
    <r>
      <rPr>
        <b/>
        <sz val="8"/>
        <rFont val="Arial"/>
        <family val="2"/>
      </rPr>
      <t>cesta Nosice</t>
    </r>
    <r>
      <rPr>
        <sz val="8"/>
        <rFont val="Arial"/>
        <family val="2"/>
      </rPr>
      <t xml:space="preserve"> 700</t>
    </r>
  </si>
  <si>
    <t>Finančné operácie - zostatok prostriedkov z predchádzajúcich  rokov</t>
  </si>
  <si>
    <t xml:space="preserve">Príjmy z predaja kapitálových aktív </t>
  </si>
  <si>
    <t>Tuzemské kapitálové transféry - Dvory ŠFRB</t>
  </si>
  <si>
    <t>Daň za nevýherné hracie prístroje</t>
  </si>
  <si>
    <t>Daň za predajné automaty</t>
  </si>
  <si>
    <t>Daň za ubytovanie</t>
  </si>
  <si>
    <t>Iné dane príjem</t>
  </si>
  <si>
    <t>Sankcie uložené v daňovom konaní</t>
  </si>
  <si>
    <t>Pokuty a penále za porušenie predpisov</t>
  </si>
  <si>
    <t>Poplatky a platby za prebytočný hnuteľný majetok</t>
  </si>
  <si>
    <t>Vrátené prostriedky od fyz. osoby - splátka Jakubík (bus)</t>
  </si>
  <si>
    <t>Ostatné príjmy - vrátené platby (voda IBV)</t>
  </si>
  <si>
    <t>Ostatné prímy -  z náhrad z poistného plnenia</t>
  </si>
  <si>
    <t>Príjmy z kurzových rozdielov</t>
  </si>
  <si>
    <t>Transfery na rôznej úrovni - recyklačný fond</t>
  </si>
  <si>
    <t>Transfery na rôznej úrovni - refundácia školských učebníc MŚ</t>
  </si>
  <si>
    <t>Transfery na rôznej úrovni - stavebný úrad pre MK a UK</t>
  </si>
  <si>
    <t>Transfery na rôznej úrovni - elektr. a revitalizácia školských knižníc</t>
  </si>
  <si>
    <t>Transfery na rôznej úrovni - mimoriadne výsledky žiakov</t>
  </si>
  <si>
    <t>Transfery na rôznej úrovni - ZŠ Mládežnícka - otvorená škola</t>
  </si>
  <si>
    <t>Transfery na rôznej úrovni - odchodné</t>
  </si>
  <si>
    <t>Transfery na rôznej úrovni - výchova a vzdelávanie MŚ</t>
  </si>
  <si>
    <t>Transfery na rôznej úrovni - havarijná situácia ZŠ Komenského</t>
  </si>
  <si>
    <t>Transfery na rôznej úrovni - šport do škôl</t>
  </si>
  <si>
    <t>Tuzemské granty - štipendium</t>
  </si>
  <si>
    <t>Tuzemské granty - dar STOP SHOP, Tesco</t>
  </si>
  <si>
    <t>Tuzemské granty - sponzorské Púchovský jarmok</t>
  </si>
  <si>
    <t>Tuzemské granty - Zachráňme Zdravie</t>
  </si>
  <si>
    <t>Položka</t>
  </si>
  <si>
    <t>121 001 1</t>
  </si>
  <si>
    <t>121 001 2</t>
  </si>
  <si>
    <t>121 002 1</t>
  </si>
  <si>
    <t>121 002 2</t>
  </si>
  <si>
    <t>121 003 1</t>
  </si>
  <si>
    <t>121 003 2</t>
  </si>
  <si>
    <t>212 003 1</t>
  </si>
  <si>
    <t>212 003 2</t>
  </si>
  <si>
    <t>212 004 1</t>
  </si>
  <si>
    <t>212 004 7</t>
  </si>
  <si>
    <t>221 004 1</t>
  </si>
  <si>
    <t>221 004 6</t>
  </si>
  <si>
    <t>221 004 2</t>
  </si>
  <si>
    <t>222 003 1</t>
  </si>
  <si>
    <t>222 003 2</t>
  </si>
  <si>
    <t>223 001 2</t>
  </si>
  <si>
    <t>311 1</t>
  </si>
  <si>
    <t>311 2</t>
  </si>
  <si>
    <t>311 3</t>
  </si>
  <si>
    <t>312 001 2</t>
  </si>
  <si>
    <t>312 001 5</t>
  </si>
  <si>
    <t>312 001 72</t>
  </si>
  <si>
    <t>312 001 73</t>
  </si>
  <si>
    <t>312 001 74</t>
  </si>
  <si>
    <t>312 001 8</t>
  </si>
  <si>
    <t>312 001 9</t>
  </si>
  <si>
    <t>312 001 11</t>
  </si>
  <si>
    <t>312 001 12</t>
  </si>
  <si>
    <t>312 001 14</t>
  </si>
  <si>
    <t>312 001 16</t>
  </si>
  <si>
    <t>312 001 17</t>
  </si>
  <si>
    <t>312 001 18</t>
  </si>
  <si>
    <t>312 001 19</t>
  </si>
  <si>
    <t>312 001 13</t>
  </si>
  <si>
    <t>312 001 4</t>
  </si>
  <si>
    <t>312 001 6</t>
  </si>
  <si>
    <t>312 001 10</t>
  </si>
  <si>
    <t>312 001 71</t>
  </si>
  <si>
    <t>312 001 75</t>
  </si>
  <si>
    <t>312 001 76</t>
  </si>
  <si>
    <t>312 001 79</t>
  </si>
  <si>
    <t>312 001 80</t>
  </si>
  <si>
    <t>312 001 81</t>
  </si>
  <si>
    <t>312 001 82</t>
  </si>
  <si>
    <t>322 001 2</t>
  </si>
  <si>
    <t xml:space="preserve">Tuzemské granty </t>
  </si>
  <si>
    <t>Výdavky 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</si>
</sst>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5" fillId="2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10" fontId="10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3" fontId="3" fillId="3" borderId="9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3" fillId="3" borderId="1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3" fontId="3" fillId="0" borderId="13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5" fillId="3" borderId="16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5" fillId="3" borderId="10" xfId="0" applyNumberFormat="1" applyFont="1" applyFill="1" applyBorder="1" applyAlignment="1">
      <alignment/>
    </xf>
    <xf numFmtId="10" fontId="5" fillId="3" borderId="11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18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10" fontId="5" fillId="3" borderId="20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2" borderId="2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/>
    </xf>
    <xf numFmtId="3" fontId="5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/>
    </xf>
    <xf numFmtId="3" fontId="3" fillId="0" borderId="29" xfId="0" applyNumberFormat="1" applyFont="1" applyFill="1" applyBorder="1" applyAlignment="1">
      <alignment horizontal="left" vertical="top" wrapText="1"/>
    </xf>
    <xf numFmtId="3" fontId="3" fillId="0" borderId="2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0" fontId="5" fillId="2" borderId="30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3" borderId="13" xfId="0" applyNumberFormat="1" applyFont="1" applyFill="1" applyBorder="1" applyAlignment="1">
      <alignment/>
    </xf>
    <xf numFmtId="10" fontId="1" fillId="3" borderId="13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10" fontId="5" fillId="3" borderId="19" xfId="0" applyNumberFormat="1" applyFont="1" applyFill="1" applyBorder="1" applyAlignment="1">
      <alignment/>
    </xf>
    <xf numFmtId="10" fontId="5" fillId="3" borderId="15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3" borderId="32" xfId="0" applyNumberFormat="1" applyFont="1" applyFill="1" applyBorder="1" applyAlignment="1">
      <alignment/>
    </xf>
    <xf numFmtId="3" fontId="5" fillId="3" borderId="3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67">
      <selection activeCell="I18" sqref="I18"/>
    </sheetView>
  </sheetViews>
  <sheetFormatPr defaultColWidth="9.140625" defaultRowHeight="12.75"/>
  <cols>
    <col min="1" max="1" width="9.140625" style="2" customWidth="1"/>
    <col min="2" max="2" width="48.28125" style="6" customWidth="1"/>
    <col min="3" max="5" width="8.8515625" style="6" customWidth="1"/>
    <col min="6" max="7" width="9.140625" style="2" hidden="1" customWidth="1"/>
    <col min="8" max="10" width="9.140625" style="2" customWidth="1"/>
    <col min="11" max="11" width="9.140625" style="86" customWidth="1"/>
    <col min="12" max="14" width="0" style="2" hidden="1" customWidth="1"/>
    <col min="15" max="16384" width="9.140625" style="2" customWidth="1"/>
  </cols>
  <sheetData>
    <row r="1" ht="13.5" thickBot="1">
      <c r="B1" s="4" t="s">
        <v>187</v>
      </c>
    </row>
    <row r="2" spans="1:14" ht="12.75" customHeight="1">
      <c r="A2" s="118" t="s">
        <v>240</v>
      </c>
      <c r="B2" s="120" t="s">
        <v>189</v>
      </c>
      <c r="C2" s="114" t="s">
        <v>188</v>
      </c>
      <c r="D2" s="116" t="s">
        <v>33</v>
      </c>
      <c r="E2" s="117"/>
      <c r="F2" s="136">
        <v>2009</v>
      </c>
      <c r="G2" s="140">
        <v>2010</v>
      </c>
      <c r="H2" s="114" t="s">
        <v>203</v>
      </c>
      <c r="I2" s="116" t="s">
        <v>33</v>
      </c>
      <c r="J2" s="117"/>
      <c r="K2" s="126" t="s">
        <v>170</v>
      </c>
      <c r="L2" s="114" t="s">
        <v>190</v>
      </c>
      <c r="M2" s="116" t="s">
        <v>33</v>
      </c>
      <c r="N2" s="117"/>
    </row>
    <row r="3" spans="1:14" s="1" customFormat="1" ht="12" customHeight="1">
      <c r="A3" s="119"/>
      <c r="B3" s="120"/>
      <c r="C3" s="115"/>
      <c r="D3" s="11" t="s">
        <v>172</v>
      </c>
      <c r="E3" s="38" t="s">
        <v>173</v>
      </c>
      <c r="F3" s="136"/>
      <c r="G3" s="140"/>
      <c r="H3" s="115"/>
      <c r="I3" s="11" t="s">
        <v>172</v>
      </c>
      <c r="J3" s="38" t="s">
        <v>173</v>
      </c>
      <c r="K3" s="127"/>
      <c r="L3" s="115"/>
      <c r="M3" s="11" t="s">
        <v>172</v>
      </c>
      <c r="N3" s="38" t="s">
        <v>173</v>
      </c>
    </row>
    <row r="4" spans="1:14" s="1" customFormat="1" ht="12.75">
      <c r="A4" s="109">
        <v>111003</v>
      </c>
      <c r="B4" s="105" t="s">
        <v>129</v>
      </c>
      <c r="C4" s="40">
        <f>D4+E4</f>
        <v>135000</v>
      </c>
      <c r="D4" s="7">
        <v>135000</v>
      </c>
      <c r="E4" s="73"/>
      <c r="F4" s="57">
        <v>128000</v>
      </c>
      <c r="G4" s="94">
        <v>132500</v>
      </c>
      <c r="H4" s="51">
        <f>I4+J4</f>
        <v>134389</v>
      </c>
      <c r="I4" s="52">
        <v>134389</v>
      </c>
      <c r="J4" s="53"/>
      <c r="K4" s="128">
        <f aca="true" t="shared" si="0" ref="K4:K42">H4/C4</f>
        <v>0.9954740740740741</v>
      </c>
      <c r="L4" s="40">
        <f>M4+N4</f>
        <v>3800</v>
      </c>
      <c r="M4" s="7">
        <v>3800</v>
      </c>
      <c r="N4" s="73"/>
    </row>
    <row r="5" spans="1:14" s="45" customFormat="1" ht="12.75">
      <c r="A5" s="110" t="s">
        <v>241</v>
      </c>
      <c r="B5" s="106" t="s">
        <v>0</v>
      </c>
      <c r="C5" s="39">
        <f>D5+E5</f>
        <v>1406</v>
      </c>
      <c r="D5" s="13">
        <v>1406</v>
      </c>
      <c r="E5" s="74"/>
      <c r="F5" s="88">
        <v>1250</v>
      </c>
      <c r="G5" s="93">
        <v>1250</v>
      </c>
      <c r="H5" s="54">
        <f>I5+J5</f>
        <v>1406</v>
      </c>
      <c r="I5" s="55">
        <v>1406</v>
      </c>
      <c r="J5" s="56"/>
      <c r="K5" s="128">
        <f t="shared" si="0"/>
        <v>1</v>
      </c>
      <c r="L5" s="39">
        <f>M5+N5</f>
        <v>0</v>
      </c>
      <c r="M5" s="13"/>
      <c r="N5" s="74"/>
    </row>
    <row r="6" spans="1:14" s="3" customFormat="1" ht="12.75">
      <c r="A6" s="111" t="s">
        <v>242</v>
      </c>
      <c r="B6" s="106" t="s">
        <v>1</v>
      </c>
      <c r="C6" s="39">
        <f>D6+E6</f>
        <v>1704</v>
      </c>
      <c r="D6" s="13">
        <v>1704</v>
      </c>
      <c r="E6" s="74"/>
      <c r="F6" s="88">
        <v>2100</v>
      </c>
      <c r="G6" s="93">
        <v>2100</v>
      </c>
      <c r="H6" s="54">
        <f>I6+J6</f>
        <v>1704</v>
      </c>
      <c r="I6" s="55">
        <v>1704</v>
      </c>
      <c r="J6" s="56"/>
      <c r="K6" s="128">
        <f t="shared" si="0"/>
        <v>1</v>
      </c>
      <c r="L6" s="39">
        <f>M6+N6</f>
        <v>0</v>
      </c>
      <c r="M6" s="13"/>
      <c r="N6" s="74"/>
    </row>
    <row r="7" spans="1:14" s="1" customFormat="1" ht="12.75">
      <c r="A7" s="112">
        <v>121001</v>
      </c>
      <c r="B7" s="107" t="s">
        <v>2</v>
      </c>
      <c r="C7" s="40">
        <f>SUM(C5:C6)</f>
        <v>3110</v>
      </c>
      <c r="D7" s="7">
        <f>SUM(D5:D6)</f>
        <v>3110</v>
      </c>
      <c r="E7" s="73">
        <f>SUM(E5:E6)</f>
        <v>0</v>
      </c>
      <c r="F7" s="57">
        <f aca="true" t="shared" si="1" ref="F7:N7">SUM(F5:F6)</f>
        <v>3350</v>
      </c>
      <c r="G7" s="94">
        <f t="shared" si="1"/>
        <v>3350</v>
      </c>
      <c r="H7" s="51">
        <f t="shared" si="1"/>
        <v>3110</v>
      </c>
      <c r="I7" s="52">
        <f t="shared" si="1"/>
        <v>3110</v>
      </c>
      <c r="J7" s="53">
        <f t="shared" si="1"/>
        <v>0</v>
      </c>
      <c r="K7" s="128">
        <f t="shared" si="0"/>
        <v>1</v>
      </c>
      <c r="L7" s="40">
        <f t="shared" si="1"/>
        <v>0</v>
      </c>
      <c r="M7" s="12">
        <f t="shared" si="1"/>
        <v>0</v>
      </c>
      <c r="N7" s="75">
        <f t="shared" si="1"/>
        <v>0</v>
      </c>
    </row>
    <row r="8" spans="1:14" s="3" customFormat="1" ht="12.75">
      <c r="A8" s="111" t="s">
        <v>243</v>
      </c>
      <c r="B8" s="106" t="s">
        <v>3</v>
      </c>
      <c r="C8" s="39">
        <f>D8+E8</f>
        <v>1541</v>
      </c>
      <c r="D8" s="13">
        <v>1541</v>
      </c>
      <c r="E8" s="74"/>
      <c r="F8" s="88">
        <v>3100</v>
      </c>
      <c r="G8" s="93">
        <v>3100</v>
      </c>
      <c r="H8" s="54">
        <f>I8+J8</f>
        <v>1541</v>
      </c>
      <c r="I8" s="55">
        <v>1541</v>
      </c>
      <c r="J8" s="56"/>
      <c r="K8" s="128">
        <f t="shared" si="0"/>
        <v>1</v>
      </c>
      <c r="L8" s="39">
        <f>M8+N8</f>
        <v>0</v>
      </c>
      <c r="M8" s="13"/>
      <c r="N8" s="74"/>
    </row>
    <row r="9" spans="1:14" s="3" customFormat="1" ht="12.75">
      <c r="A9" s="111" t="s">
        <v>244</v>
      </c>
      <c r="B9" s="106" t="s">
        <v>4</v>
      </c>
      <c r="C9" s="39">
        <f>D9+E9</f>
        <v>46559</v>
      </c>
      <c r="D9" s="13">
        <v>46559</v>
      </c>
      <c r="E9" s="74"/>
      <c r="F9" s="88">
        <v>45000</v>
      </c>
      <c r="G9" s="93">
        <v>45000</v>
      </c>
      <c r="H9" s="54">
        <f>I9+J9</f>
        <v>42771</v>
      </c>
      <c r="I9" s="55">
        <v>42771</v>
      </c>
      <c r="J9" s="56"/>
      <c r="K9" s="128">
        <f t="shared" si="0"/>
        <v>0.9186408642797311</v>
      </c>
      <c r="L9" s="40">
        <f>M9+N9</f>
        <v>0</v>
      </c>
      <c r="M9" s="7"/>
      <c r="N9" s="74"/>
    </row>
    <row r="10" spans="1:14" s="1" customFormat="1" ht="12.75">
      <c r="A10" s="112">
        <v>121002</v>
      </c>
      <c r="B10" s="107" t="s">
        <v>5</v>
      </c>
      <c r="C10" s="40">
        <f aca="true" t="shared" si="2" ref="C10:J10">SUM(C8:C9)</f>
        <v>48100</v>
      </c>
      <c r="D10" s="7">
        <f t="shared" si="2"/>
        <v>48100</v>
      </c>
      <c r="E10" s="73">
        <f t="shared" si="2"/>
        <v>0</v>
      </c>
      <c r="F10" s="57">
        <f t="shared" si="2"/>
        <v>48100</v>
      </c>
      <c r="G10" s="94">
        <f t="shared" si="2"/>
        <v>48100</v>
      </c>
      <c r="H10" s="51">
        <f t="shared" si="2"/>
        <v>44312</v>
      </c>
      <c r="I10" s="52">
        <f t="shared" si="2"/>
        <v>44312</v>
      </c>
      <c r="J10" s="53">
        <f t="shared" si="2"/>
        <v>0</v>
      </c>
      <c r="K10" s="128">
        <f t="shared" si="0"/>
        <v>0.9212474012474012</v>
      </c>
      <c r="L10" s="39">
        <f>M10+N10</f>
        <v>0</v>
      </c>
      <c r="M10" s="13"/>
      <c r="N10" s="75">
        <f>SUM(N8:N9)</f>
        <v>0</v>
      </c>
    </row>
    <row r="11" spans="1:14" s="46" customFormat="1" ht="12.75">
      <c r="A11" s="110" t="s">
        <v>245</v>
      </c>
      <c r="B11" s="106" t="s">
        <v>130</v>
      </c>
      <c r="C11" s="39">
        <f>D11+E11</f>
        <v>904</v>
      </c>
      <c r="D11" s="13">
        <v>904</v>
      </c>
      <c r="E11" s="74"/>
      <c r="F11" s="88">
        <v>730</v>
      </c>
      <c r="G11" s="93">
        <v>730</v>
      </c>
      <c r="H11" s="54">
        <f>I11+J11</f>
        <v>923</v>
      </c>
      <c r="I11" s="55">
        <v>923</v>
      </c>
      <c r="J11" s="56"/>
      <c r="K11" s="128">
        <f t="shared" si="0"/>
        <v>1.0210176991150441</v>
      </c>
      <c r="L11" s="39">
        <f>M11+N11</f>
        <v>0</v>
      </c>
      <c r="M11" s="13"/>
      <c r="N11" s="74"/>
    </row>
    <row r="12" spans="1:14" ht="12.75">
      <c r="A12" s="111" t="s">
        <v>246</v>
      </c>
      <c r="B12" s="106" t="s">
        <v>131</v>
      </c>
      <c r="C12" s="39">
        <f>D12+E12</f>
        <v>750</v>
      </c>
      <c r="D12" s="13">
        <v>750</v>
      </c>
      <c r="E12" s="74"/>
      <c r="F12" s="88">
        <v>750</v>
      </c>
      <c r="G12" s="93">
        <v>750</v>
      </c>
      <c r="H12" s="54">
        <f>I12+J12</f>
        <v>1075</v>
      </c>
      <c r="I12" s="55">
        <v>1075</v>
      </c>
      <c r="J12" s="56"/>
      <c r="K12" s="128">
        <f t="shared" si="0"/>
        <v>1.4333333333333333</v>
      </c>
      <c r="L12" s="40">
        <f>SUM(L10:L11)</f>
        <v>0</v>
      </c>
      <c r="M12" s="12">
        <f>SUM(M10:M11)</f>
        <v>0</v>
      </c>
      <c r="N12" s="74"/>
    </row>
    <row r="13" spans="1:14" s="26" customFormat="1" ht="12.75">
      <c r="A13" s="112">
        <v>121003</v>
      </c>
      <c r="B13" s="107" t="s">
        <v>6</v>
      </c>
      <c r="C13" s="40">
        <f aca="true" t="shared" si="3" ref="C13:J13">SUM(C11:C12)</f>
        <v>1654</v>
      </c>
      <c r="D13" s="7">
        <f t="shared" si="3"/>
        <v>1654</v>
      </c>
      <c r="E13" s="73">
        <f t="shared" si="3"/>
        <v>0</v>
      </c>
      <c r="F13" s="57">
        <f t="shared" si="3"/>
        <v>1480</v>
      </c>
      <c r="G13" s="94">
        <f t="shared" si="3"/>
        <v>1480</v>
      </c>
      <c r="H13" s="51">
        <f t="shared" si="3"/>
        <v>1998</v>
      </c>
      <c r="I13" s="52">
        <f t="shared" si="3"/>
        <v>1998</v>
      </c>
      <c r="J13" s="53">
        <f t="shared" si="3"/>
        <v>0</v>
      </c>
      <c r="K13" s="128">
        <f t="shared" si="0"/>
        <v>1.2079806529625152</v>
      </c>
      <c r="L13" s="40">
        <f>SUM(L11:L12)</f>
        <v>0</v>
      </c>
      <c r="M13" s="12">
        <f>SUM(M11:M12)</f>
        <v>0</v>
      </c>
      <c r="N13" s="75">
        <f>SUM(N11:N12)</f>
        <v>0</v>
      </c>
    </row>
    <row r="14" spans="1:14" s="26" customFormat="1" ht="12.75">
      <c r="A14" s="112">
        <v>133001</v>
      </c>
      <c r="B14" s="107" t="s">
        <v>7</v>
      </c>
      <c r="C14" s="40">
        <f aca="true" t="shared" si="4" ref="C14:C21">D14+E14</f>
        <v>200</v>
      </c>
      <c r="D14" s="7">
        <v>200</v>
      </c>
      <c r="E14" s="73"/>
      <c r="F14" s="57">
        <v>200</v>
      </c>
      <c r="G14" s="94">
        <v>200</v>
      </c>
      <c r="H14" s="51">
        <f aca="true" t="shared" si="5" ref="H14:H21">I14+J14</f>
        <v>239</v>
      </c>
      <c r="I14" s="52">
        <v>239</v>
      </c>
      <c r="J14" s="53"/>
      <c r="K14" s="128">
        <f t="shared" si="0"/>
        <v>1.195</v>
      </c>
      <c r="L14" s="40">
        <f>M14+N14</f>
        <v>0</v>
      </c>
      <c r="M14" s="7"/>
      <c r="N14" s="73"/>
    </row>
    <row r="15" spans="1:14" ht="12.75">
      <c r="A15" s="112">
        <v>133012</v>
      </c>
      <c r="B15" s="107" t="s">
        <v>8</v>
      </c>
      <c r="C15" s="40">
        <f t="shared" si="4"/>
        <v>280</v>
      </c>
      <c r="D15" s="7">
        <v>280</v>
      </c>
      <c r="E15" s="74"/>
      <c r="F15" s="57">
        <v>150</v>
      </c>
      <c r="G15" s="94">
        <v>150</v>
      </c>
      <c r="H15" s="51">
        <f t="shared" si="5"/>
        <v>280</v>
      </c>
      <c r="I15" s="52">
        <v>280</v>
      </c>
      <c r="J15" s="56"/>
      <c r="K15" s="128">
        <f t="shared" si="0"/>
        <v>1</v>
      </c>
      <c r="L15" s="40">
        <f>M15+N15</f>
        <v>0</v>
      </c>
      <c r="M15" s="7"/>
      <c r="N15" s="74"/>
    </row>
    <row r="16" spans="1:14" ht="12.75">
      <c r="A16" s="112">
        <v>133003</v>
      </c>
      <c r="B16" s="107" t="s">
        <v>215</v>
      </c>
      <c r="C16" s="40">
        <f t="shared" si="4"/>
        <v>0</v>
      </c>
      <c r="D16" s="7">
        <v>0</v>
      </c>
      <c r="E16" s="74"/>
      <c r="F16" s="57"/>
      <c r="G16" s="94"/>
      <c r="H16" s="51">
        <f t="shared" si="5"/>
        <v>8</v>
      </c>
      <c r="I16" s="52">
        <v>8</v>
      </c>
      <c r="J16" s="56"/>
      <c r="K16" s="128"/>
      <c r="L16" s="40"/>
      <c r="M16" s="7"/>
      <c r="N16" s="74"/>
    </row>
    <row r="17" spans="1:14" ht="12.75">
      <c r="A17" s="112">
        <v>133004</v>
      </c>
      <c r="B17" s="107" t="s">
        <v>216</v>
      </c>
      <c r="C17" s="40">
        <f t="shared" si="4"/>
        <v>0</v>
      </c>
      <c r="D17" s="7">
        <v>0</v>
      </c>
      <c r="E17" s="74"/>
      <c r="F17" s="57"/>
      <c r="G17" s="94"/>
      <c r="H17" s="51">
        <f t="shared" si="5"/>
        <v>20</v>
      </c>
      <c r="I17" s="52">
        <v>20</v>
      </c>
      <c r="J17" s="56"/>
      <c r="K17" s="128"/>
      <c r="L17" s="40"/>
      <c r="M17" s="7"/>
      <c r="N17" s="74"/>
    </row>
    <row r="18" spans="1:14" ht="12.75">
      <c r="A18" s="112">
        <v>133006</v>
      </c>
      <c r="B18" s="107" t="s">
        <v>217</v>
      </c>
      <c r="C18" s="40">
        <f t="shared" si="4"/>
        <v>200</v>
      </c>
      <c r="D18" s="7">
        <v>200</v>
      </c>
      <c r="E18" s="74"/>
      <c r="F18" s="57"/>
      <c r="G18" s="94"/>
      <c r="H18" s="51">
        <f t="shared" si="5"/>
        <v>200</v>
      </c>
      <c r="I18" s="52">
        <v>200</v>
      </c>
      <c r="J18" s="56"/>
      <c r="K18" s="128">
        <f t="shared" si="0"/>
        <v>1</v>
      </c>
      <c r="L18" s="40"/>
      <c r="M18" s="7"/>
      <c r="N18" s="74"/>
    </row>
    <row r="19" spans="1:14" ht="12.75">
      <c r="A19" s="109">
        <v>139</v>
      </c>
      <c r="B19" s="107" t="s">
        <v>218</v>
      </c>
      <c r="C19" s="40">
        <f t="shared" si="4"/>
        <v>0</v>
      </c>
      <c r="D19" s="7">
        <v>0</v>
      </c>
      <c r="E19" s="74"/>
      <c r="F19" s="57"/>
      <c r="G19" s="94"/>
      <c r="H19" s="51">
        <f t="shared" si="5"/>
        <v>10</v>
      </c>
      <c r="I19" s="52">
        <v>10</v>
      </c>
      <c r="J19" s="56"/>
      <c r="K19" s="128"/>
      <c r="L19" s="40"/>
      <c r="M19" s="7"/>
      <c r="N19" s="74"/>
    </row>
    <row r="20" spans="1:14" ht="12.75">
      <c r="A20" s="109">
        <v>160</v>
      </c>
      <c r="B20" s="107" t="s">
        <v>219</v>
      </c>
      <c r="C20" s="40">
        <f t="shared" si="4"/>
        <v>0</v>
      </c>
      <c r="D20" s="7">
        <v>0</v>
      </c>
      <c r="E20" s="74"/>
      <c r="F20" s="57"/>
      <c r="G20" s="94"/>
      <c r="H20" s="51">
        <f t="shared" si="5"/>
        <v>92</v>
      </c>
      <c r="I20" s="52">
        <v>92</v>
      </c>
      <c r="J20" s="56"/>
      <c r="K20" s="128"/>
      <c r="L20" s="40"/>
      <c r="M20" s="7"/>
      <c r="N20" s="74"/>
    </row>
    <row r="21" spans="1:14" s="1" customFormat="1" ht="12.75">
      <c r="A21" s="112">
        <v>133013</v>
      </c>
      <c r="B21" s="107" t="s">
        <v>132</v>
      </c>
      <c r="C21" s="40">
        <f t="shared" si="4"/>
        <v>14700</v>
      </c>
      <c r="D21" s="7">
        <f>13500+1200</f>
        <v>14700</v>
      </c>
      <c r="E21" s="73"/>
      <c r="F21" s="57">
        <v>15000</v>
      </c>
      <c r="G21" s="94">
        <v>15000</v>
      </c>
      <c r="H21" s="51">
        <f t="shared" si="5"/>
        <v>17226</v>
      </c>
      <c r="I21" s="52">
        <v>17226</v>
      </c>
      <c r="J21" s="53"/>
      <c r="K21" s="128">
        <f t="shared" si="0"/>
        <v>1.1718367346938776</v>
      </c>
      <c r="L21" s="40">
        <f>M21+N21</f>
        <v>0</v>
      </c>
      <c r="M21" s="7"/>
      <c r="N21" s="73"/>
    </row>
    <row r="22" spans="1:14" s="1" customFormat="1" ht="21" customHeight="1">
      <c r="A22" s="109"/>
      <c r="B22" s="108" t="s">
        <v>133</v>
      </c>
      <c r="C22" s="41">
        <f>C4+C7+C10+C13+C21+C14+C15+C16+C17+C18+C19+C20</f>
        <v>203244</v>
      </c>
      <c r="D22" s="14">
        <f>D4+D7+D10+D13+D21+D14+D15+D16+D17+D18+D19+D20</f>
        <v>203244</v>
      </c>
      <c r="E22" s="77">
        <f>E4+E7+E10+E13+E21+E14+E15+E16+E17+E18+E19+E20</f>
        <v>0</v>
      </c>
      <c r="F22" s="59">
        <f>F4+F7+F10+F13+F21+F14+F15</f>
        <v>196280</v>
      </c>
      <c r="G22" s="133">
        <f>G4+G7+G10+G13+G21+G14+G15</f>
        <v>200780</v>
      </c>
      <c r="H22" s="58">
        <f>H4+H7+H10+H13+H21+H14+H15+H16+H17+H18+H19+H20</f>
        <v>201884</v>
      </c>
      <c r="I22" s="65">
        <f>I4+I7+I10+I13+I21+I14+I15+I16+I17+I18+I19+I20</f>
        <v>201884</v>
      </c>
      <c r="J22" s="72">
        <f>J4+J7+J10+J13+J21+J14+J15+J16+J17+J18+J19+J20</f>
        <v>0</v>
      </c>
      <c r="K22" s="129">
        <f t="shared" si="0"/>
        <v>0.9933085355533251</v>
      </c>
      <c r="L22" s="41">
        <f>L4+L7+L10+L13+L21+L14+L15</f>
        <v>3800</v>
      </c>
      <c r="M22" s="50">
        <f>M4+M7+M10+M13+M21+M14+M15</f>
        <v>3800</v>
      </c>
      <c r="N22" s="76">
        <f>N4+N7+N10+N13+N28+N21+N14</f>
        <v>0</v>
      </c>
    </row>
    <row r="23" spans="1:14" s="1" customFormat="1" ht="12.75">
      <c r="A23" s="112">
        <v>212002</v>
      </c>
      <c r="B23" s="107" t="s">
        <v>9</v>
      </c>
      <c r="C23" s="40">
        <f aca="true" t="shared" si="6" ref="C23:C32">D23+E23</f>
        <v>300</v>
      </c>
      <c r="D23" s="7">
        <v>300</v>
      </c>
      <c r="E23" s="73"/>
      <c r="F23" s="57">
        <v>300</v>
      </c>
      <c r="G23" s="94">
        <v>300</v>
      </c>
      <c r="H23" s="51">
        <f aca="true" t="shared" si="7" ref="H23:H32">I23+J23</f>
        <v>714</v>
      </c>
      <c r="I23" s="52">
        <v>714</v>
      </c>
      <c r="J23" s="53"/>
      <c r="K23" s="128">
        <f t="shared" si="0"/>
        <v>2.38</v>
      </c>
      <c r="L23" s="40">
        <f aca="true" t="shared" si="8" ref="L23:L32">M23+N23</f>
        <v>0</v>
      </c>
      <c r="M23" s="7"/>
      <c r="N23" s="73"/>
    </row>
    <row r="24" spans="1:14" s="1" customFormat="1" ht="12.75">
      <c r="A24" s="112">
        <v>212003</v>
      </c>
      <c r="B24" s="107" t="s">
        <v>10</v>
      </c>
      <c r="C24" s="40">
        <f t="shared" si="6"/>
        <v>100</v>
      </c>
      <c r="D24" s="7">
        <v>100</v>
      </c>
      <c r="E24" s="73"/>
      <c r="F24" s="57">
        <v>100</v>
      </c>
      <c r="G24" s="94">
        <v>100</v>
      </c>
      <c r="H24" s="51">
        <f t="shared" si="7"/>
        <v>146</v>
      </c>
      <c r="I24" s="52">
        <f>108+38</f>
        <v>146</v>
      </c>
      <c r="J24" s="53"/>
      <c r="K24" s="128">
        <f t="shared" si="0"/>
        <v>1.46</v>
      </c>
      <c r="L24" s="40">
        <f t="shared" si="8"/>
        <v>0</v>
      </c>
      <c r="M24" s="7"/>
      <c r="N24" s="73"/>
    </row>
    <row r="25" spans="1:14" s="1" customFormat="1" ht="12.75">
      <c r="A25" s="109" t="s">
        <v>247</v>
      </c>
      <c r="B25" s="107" t="s">
        <v>134</v>
      </c>
      <c r="C25" s="40">
        <f t="shared" si="6"/>
        <v>3300</v>
      </c>
      <c r="D25" s="7">
        <v>3300</v>
      </c>
      <c r="E25" s="73"/>
      <c r="F25" s="57">
        <v>3500</v>
      </c>
      <c r="G25" s="94">
        <v>3500</v>
      </c>
      <c r="H25" s="51">
        <f t="shared" si="7"/>
        <v>3618</v>
      </c>
      <c r="I25" s="52">
        <v>3618</v>
      </c>
      <c r="J25" s="53"/>
      <c r="K25" s="128">
        <f t="shared" si="0"/>
        <v>1.0963636363636364</v>
      </c>
      <c r="L25" s="40">
        <f t="shared" si="8"/>
        <v>0</v>
      </c>
      <c r="M25" s="7"/>
      <c r="N25" s="73"/>
    </row>
    <row r="26" spans="1:14" s="1" customFormat="1" ht="12.75">
      <c r="A26" s="109" t="s">
        <v>248</v>
      </c>
      <c r="B26" s="107" t="s">
        <v>135</v>
      </c>
      <c r="C26" s="40">
        <f t="shared" si="6"/>
        <v>5050</v>
      </c>
      <c r="D26" s="7">
        <v>5050</v>
      </c>
      <c r="E26" s="73"/>
      <c r="F26" s="57">
        <v>5500</v>
      </c>
      <c r="G26" s="94">
        <v>5500</v>
      </c>
      <c r="H26" s="51">
        <f t="shared" si="7"/>
        <v>6117</v>
      </c>
      <c r="I26" s="52">
        <v>6117</v>
      </c>
      <c r="J26" s="53"/>
      <c r="K26" s="128">
        <f t="shared" si="0"/>
        <v>1.2112871287128713</v>
      </c>
      <c r="L26" s="40">
        <f t="shared" si="8"/>
        <v>0</v>
      </c>
      <c r="M26" s="7"/>
      <c r="N26" s="73"/>
    </row>
    <row r="27" spans="1:14" s="26" customFormat="1" ht="12.75">
      <c r="A27" s="109" t="s">
        <v>249</v>
      </c>
      <c r="B27" s="107" t="s">
        <v>136</v>
      </c>
      <c r="C27" s="40">
        <f t="shared" si="6"/>
        <v>300</v>
      </c>
      <c r="D27" s="7">
        <v>300</v>
      </c>
      <c r="E27" s="73"/>
      <c r="F27" s="57">
        <v>300</v>
      </c>
      <c r="G27" s="94">
        <v>300</v>
      </c>
      <c r="H27" s="51">
        <f t="shared" si="7"/>
        <v>232</v>
      </c>
      <c r="I27" s="52">
        <v>232</v>
      </c>
      <c r="J27" s="53"/>
      <c r="K27" s="128">
        <f t="shared" si="0"/>
        <v>0.7733333333333333</v>
      </c>
      <c r="L27" s="40">
        <f t="shared" si="8"/>
        <v>0</v>
      </c>
      <c r="M27" s="7"/>
      <c r="N27" s="73"/>
    </row>
    <row r="28" spans="1:14" s="1" customFormat="1" ht="12.75">
      <c r="A28" s="109" t="s">
        <v>250</v>
      </c>
      <c r="B28" s="107" t="s">
        <v>174</v>
      </c>
      <c r="C28" s="40">
        <f t="shared" si="6"/>
        <v>2000</v>
      </c>
      <c r="D28" s="7">
        <f>1100+500+400</f>
        <v>2000</v>
      </c>
      <c r="E28" s="73">
        <v>0</v>
      </c>
      <c r="F28" s="57">
        <v>2000</v>
      </c>
      <c r="G28" s="94">
        <v>2000</v>
      </c>
      <c r="H28" s="51">
        <f t="shared" si="7"/>
        <v>1480</v>
      </c>
      <c r="I28" s="52">
        <v>1480</v>
      </c>
      <c r="J28" s="53">
        <v>0</v>
      </c>
      <c r="K28" s="128">
        <f t="shared" si="0"/>
        <v>0.74</v>
      </c>
      <c r="L28" s="40">
        <f t="shared" si="8"/>
        <v>0</v>
      </c>
      <c r="M28" s="12"/>
      <c r="N28" s="75">
        <v>0</v>
      </c>
    </row>
    <row r="29" spans="1:14" s="3" customFormat="1" ht="12.75">
      <c r="A29" s="113">
        <v>221004</v>
      </c>
      <c r="B29" s="106" t="s">
        <v>137</v>
      </c>
      <c r="C29" s="39">
        <f t="shared" si="6"/>
        <v>150</v>
      </c>
      <c r="D29" s="13">
        <v>150</v>
      </c>
      <c r="E29" s="74"/>
      <c r="F29" s="88">
        <v>150</v>
      </c>
      <c r="G29" s="93">
        <v>150</v>
      </c>
      <c r="H29" s="54">
        <f t="shared" si="7"/>
        <v>207</v>
      </c>
      <c r="I29" s="55">
        <f>77+130</f>
        <v>207</v>
      </c>
      <c r="J29" s="56"/>
      <c r="K29" s="128">
        <f t="shared" si="0"/>
        <v>1.38</v>
      </c>
      <c r="L29" s="39">
        <f t="shared" si="8"/>
        <v>0</v>
      </c>
      <c r="M29" s="13"/>
      <c r="N29" s="74"/>
    </row>
    <row r="30" spans="1:14" s="3" customFormat="1" ht="12.75">
      <c r="A30" s="111" t="s">
        <v>251</v>
      </c>
      <c r="B30" s="106" t="s">
        <v>138</v>
      </c>
      <c r="C30" s="39">
        <f t="shared" si="6"/>
        <v>600</v>
      </c>
      <c r="D30" s="13">
        <v>600</v>
      </c>
      <c r="E30" s="74"/>
      <c r="F30" s="88">
        <v>600</v>
      </c>
      <c r="G30" s="93">
        <v>600</v>
      </c>
      <c r="H30" s="54">
        <f t="shared" si="7"/>
        <v>606</v>
      </c>
      <c r="I30" s="55">
        <v>606</v>
      </c>
      <c r="J30" s="56"/>
      <c r="K30" s="128">
        <f t="shared" si="0"/>
        <v>1.01</v>
      </c>
      <c r="L30" s="39">
        <f t="shared" si="8"/>
        <v>0</v>
      </c>
      <c r="M30" s="13"/>
      <c r="N30" s="74"/>
    </row>
    <row r="31" spans="1:14" s="3" customFormat="1" ht="12.75">
      <c r="A31" s="111" t="s">
        <v>252</v>
      </c>
      <c r="B31" s="106" t="s">
        <v>139</v>
      </c>
      <c r="C31" s="39">
        <f t="shared" si="6"/>
        <v>200</v>
      </c>
      <c r="D31" s="13">
        <f>150+50</f>
        <v>200</v>
      </c>
      <c r="E31" s="74"/>
      <c r="F31" s="88">
        <v>200</v>
      </c>
      <c r="G31" s="93">
        <v>200</v>
      </c>
      <c r="H31" s="54">
        <f t="shared" si="7"/>
        <v>266</v>
      </c>
      <c r="I31" s="55">
        <v>266</v>
      </c>
      <c r="J31" s="56"/>
      <c r="K31" s="128">
        <f t="shared" si="0"/>
        <v>1.33</v>
      </c>
      <c r="L31" s="39">
        <f t="shared" si="8"/>
        <v>0</v>
      </c>
      <c r="M31" s="13"/>
      <c r="N31" s="74"/>
    </row>
    <row r="32" spans="1:14" ht="12.75">
      <c r="A32" s="111" t="s">
        <v>253</v>
      </c>
      <c r="B32" s="106" t="s">
        <v>140</v>
      </c>
      <c r="C32" s="39">
        <f t="shared" si="6"/>
        <v>4700</v>
      </c>
      <c r="D32" s="13">
        <f>2600+1600+250+250</f>
        <v>4700</v>
      </c>
      <c r="E32" s="74"/>
      <c r="F32" s="88">
        <f>4200+500</f>
        <v>4700</v>
      </c>
      <c r="G32" s="93">
        <f>4200+500</f>
        <v>4700</v>
      </c>
      <c r="H32" s="54">
        <f t="shared" si="7"/>
        <v>5221</v>
      </c>
      <c r="I32" s="55">
        <v>5221</v>
      </c>
      <c r="J32" s="56"/>
      <c r="K32" s="128">
        <f t="shared" si="0"/>
        <v>1.1108510638297873</v>
      </c>
      <c r="L32" s="39">
        <f t="shared" si="8"/>
        <v>0</v>
      </c>
      <c r="M32" s="13"/>
      <c r="N32" s="74"/>
    </row>
    <row r="33" spans="1:14" s="1" customFormat="1" ht="12.75">
      <c r="A33" s="112">
        <v>221004</v>
      </c>
      <c r="B33" s="107" t="s">
        <v>137</v>
      </c>
      <c r="C33" s="40">
        <f>SUM(C29:C32)</f>
        <v>5650</v>
      </c>
      <c r="D33" s="7">
        <f>SUM(D29:D32)</f>
        <v>5650</v>
      </c>
      <c r="E33" s="73">
        <f>SUM(E29:E32)</f>
        <v>0</v>
      </c>
      <c r="F33" s="57">
        <f aca="true" t="shared" si="9" ref="F33:N33">SUM(F29:F32)</f>
        <v>5650</v>
      </c>
      <c r="G33" s="94">
        <f t="shared" si="9"/>
        <v>5650</v>
      </c>
      <c r="H33" s="51">
        <f t="shared" si="9"/>
        <v>6300</v>
      </c>
      <c r="I33" s="52">
        <f t="shared" si="9"/>
        <v>6300</v>
      </c>
      <c r="J33" s="53">
        <f t="shared" si="9"/>
        <v>0</v>
      </c>
      <c r="K33" s="128">
        <f t="shared" si="0"/>
        <v>1.1150442477876106</v>
      </c>
      <c r="L33" s="40">
        <f t="shared" si="9"/>
        <v>0</v>
      </c>
      <c r="M33" s="12">
        <f t="shared" si="9"/>
        <v>0</v>
      </c>
      <c r="N33" s="75">
        <f t="shared" si="9"/>
        <v>0</v>
      </c>
    </row>
    <row r="34" spans="1:14" s="26" customFormat="1" ht="12.75">
      <c r="A34" s="109" t="s">
        <v>254</v>
      </c>
      <c r="B34" s="107" t="s">
        <v>141</v>
      </c>
      <c r="C34" s="40">
        <f>D34+E34</f>
        <v>800</v>
      </c>
      <c r="D34" s="7">
        <f>700+100</f>
        <v>800</v>
      </c>
      <c r="E34" s="73"/>
      <c r="F34" s="57">
        <v>900</v>
      </c>
      <c r="G34" s="94">
        <v>1000</v>
      </c>
      <c r="H34" s="51">
        <f>I34+J34</f>
        <v>800</v>
      </c>
      <c r="I34" s="52">
        <v>800</v>
      </c>
      <c r="J34" s="53"/>
      <c r="K34" s="128">
        <f t="shared" si="0"/>
        <v>1</v>
      </c>
      <c r="L34" s="40">
        <f>M34+N34</f>
        <v>0</v>
      </c>
      <c r="M34" s="7"/>
      <c r="N34" s="73"/>
    </row>
    <row r="35" spans="1:14" s="26" customFormat="1" ht="12.75">
      <c r="A35" s="109" t="s">
        <v>255</v>
      </c>
      <c r="B35" s="107" t="s">
        <v>220</v>
      </c>
      <c r="C35" s="40">
        <f>D35+E35</f>
        <v>0</v>
      </c>
      <c r="D35" s="7">
        <v>0</v>
      </c>
      <c r="E35" s="73"/>
      <c r="F35" s="57"/>
      <c r="G35" s="94"/>
      <c r="H35" s="51">
        <f>I35+J35</f>
        <v>86</v>
      </c>
      <c r="I35" s="52">
        <v>86</v>
      </c>
      <c r="J35" s="53"/>
      <c r="K35" s="128"/>
      <c r="L35" s="40"/>
      <c r="M35" s="7"/>
      <c r="N35" s="73"/>
    </row>
    <row r="36" spans="1:14" s="3" customFormat="1" ht="12.75">
      <c r="A36" s="113">
        <v>223001</v>
      </c>
      <c r="B36" s="106" t="s">
        <v>185</v>
      </c>
      <c r="C36" s="39">
        <f>D36+E36</f>
        <v>650</v>
      </c>
      <c r="D36" s="13">
        <f>400+250</f>
        <v>650</v>
      </c>
      <c r="E36" s="74"/>
      <c r="F36" s="88">
        <v>400</v>
      </c>
      <c r="G36" s="93">
        <v>400</v>
      </c>
      <c r="H36" s="54">
        <f>I36+J36</f>
        <v>1314</v>
      </c>
      <c r="I36" s="55">
        <v>1314</v>
      </c>
      <c r="J36" s="56"/>
      <c r="K36" s="128">
        <f t="shared" si="0"/>
        <v>2.0215384615384617</v>
      </c>
      <c r="L36" s="39">
        <f>M36+N36</f>
        <v>0</v>
      </c>
      <c r="M36" s="13"/>
      <c r="N36" s="74"/>
    </row>
    <row r="37" spans="1:14" ht="12.75">
      <c r="A37" s="111" t="s">
        <v>256</v>
      </c>
      <c r="B37" s="106" t="s">
        <v>142</v>
      </c>
      <c r="C37" s="39">
        <f>D37+E37</f>
        <v>500</v>
      </c>
      <c r="D37" s="13">
        <v>500</v>
      </c>
      <c r="E37" s="74"/>
      <c r="F37" s="88">
        <v>500</v>
      </c>
      <c r="G37" s="93">
        <v>500</v>
      </c>
      <c r="H37" s="54">
        <f>I37+J37</f>
        <v>534</v>
      </c>
      <c r="I37" s="55">
        <v>534</v>
      </c>
      <c r="J37" s="56"/>
      <c r="K37" s="128">
        <f t="shared" si="0"/>
        <v>1.068</v>
      </c>
      <c r="L37" s="39">
        <f>M37+N37</f>
        <v>0</v>
      </c>
      <c r="M37" s="13"/>
      <c r="N37" s="74"/>
    </row>
    <row r="38" spans="1:14" s="1" customFormat="1" ht="12.75">
      <c r="A38" s="112">
        <v>223001</v>
      </c>
      <c r="B38" s="107" t="s">
        <v>143</v>
      </c>
      <c r="C38" s="40">
        <f>SUM(C36:C37)</f>
        <v>1150</v>
      </c>
      <c r="D38" s="7">
        <f>SUM(D36:D37)</f>
        <v>1150</v>
      </c>
      <c r="E38" s="73">
        <f>SUM(E36:E37)</f>
        <v>0</v>
      </c>
      <c r="F38" s="57">
        <f aca="true" t="shared" si="10" ref="F38:N38">SUM(F36:F37)</f>
        <v>900</v>
      </c>
      <c r="G38" s="94">
        <f t="shared" si="10"/>
        <v>900</v>
      </c>
      <c r="H38" s="51">
        <f t="shared" si="10"/>
        <v>1848</v>
      </c>
      <c r="I38" s="52">
        <f t="shared" si="10"/>
        <v>1848</v>
      </c>
      <c r="J38" s="53">
        <f t="shared" si="10"/>
        <v>0</v>
      </c>
      <c r="K38" s="128">
        <f t="shared" si="0"/>
        <v>1.6069565217391304</v>
      </c>
      <c r="L38" s="40">
        <f t="shared" si="10"/>
        <v>0</v>
      </c>
      <c r="M38" s="12">
        <f t="shared" si="10"/>
        <v>0</v>
      </c>
      <c r="N38" s="75">
        <f t="shared" si="10"/>
        <v>0</v>
      </c>
    </row>
    <row r="39" spans="1:14" s="1" customFormat="1" ht="12.75">
      <c r="A39" s="112">
        <v>223004</v>
      </c>
      <c r="B39" s="107" t="s">
        <v>221</v>
      </c>
      <c r="C39" s="40">
        <f aca="true" t="shared" si="11" ref="C39:C50">D39+E39</f>
        <v>50</v>
      </c>
      <c r="D39" s="7">
        <v>50</v>
      </c>
      <c r="E39" s="73"/>
      <c r="F39" s="57"/>
      <c r="G39" s="94"/>
      <c r="H39" s="51">
        <f aca="true" t="shared" si="12" ref="H39:H50">I39+J39</f>
        <v>67</v>
      </c>
      <c r="I39" s="52">
        <v>67</v>
      </c>
      <c r="J39" s="53"/>
      <c r="K39" s="128">
        <f t="shared" si="0"/>
        <v>1.34</v>
      </c>
      <c r="L39" s="40"/>
      <c r="M39" s="12"/>
      <c r="N39" s="75"/>
    </row>
    <row r="40" spans="1:14" s="1" customFormat="1" ht="12.75">
      <c r="A40" s="112">
        <v>229005</v>
      </c>
      <c r="B40" s="107" t="s">
        <v>144</v>
      </c>
      <c r="C40" s="40">
        <f t="shared" si="11"/>
        <v>20</v>
      </c>
      <c r="D40" s="7">
        <v>20</v>
      </c>
      <c r="E40" s="73"/>
      <c r="F40" s="57">
        <v>20</v>
      </c>
      <c r="G40" s="94">
        <v>20</v>
      </c>
      <c r="H40" s="51">
        <f t="shared" si="12"/>
        <v>16</v>
      </c>
      <c r="I40" s="52">
        <v>16</v>
      </c>
      <c r="J40" s="53"/>
      <c r="K40" s="128">
        <f t="shared" si="0"/>
        <v>0.8</v>
      </c>
      <c r="L40" s="40">
        <f aca="true" t="shared" si="13" ref="L40:L50">M40+N40</f>
        <v>0</v>
      </c>
      <c r="M40" s="7"/>
      <c r="N40" s="73"/>
    </row>
    <row r="41" spans="1:14" s="1" customFormat="1" ht="12.75">
      <c r="A41" s="109">
        <v>242</v>
      </c>
      <c r="B41" s="107" t="s">
        <v>11</v>
      </c>
      <c r="C41" s="40">
        <f t="shared" si="11"/>
        <v>90</v>
      </c>
      <c r="D41" s="7">
        <v>90</v>
      </c>
      <c r="E41" s="73"/>
      <c r="F41" s="57">
        <v>90</v>
      </c>
      <c r="G41" s="94">
        <v>90</v>
      </c>
      <c r="H41" s="51">
        <f t="shared" si="12"/>
        <v>273</v>
      </c>
      <c r="I41" s="52">
        <v>273</v>
      </c>
      <c r="J41" s="53"/>
      <c r="K41" s="128">
        <f t="shared" si="0"/>
        <v>3.033333333333333</v>
      </c>
      <c r="L41" s="40">
        <f t="shared" si="13"/>
        <v>0</v>
      </c>
      <c r="M41" s="7"/>
      <c r="N41" s="73"/>
    </row>
    <row r="42" spans="1:14" s="26" customFormat="1" ht="12.75">
      <c r="A42" s="109">
        <v>244</v>
      </c>
      <c r="B42" s="107" t="s">
        <v>32</v>
      </c>
      <c r="C42" s="40">
        <f t="shared" si="11"/>
        <v>50</v>
      </c>
      <c r="D42" s="7">
        <v>50</v>
      </c>
      <c r="E42" s="73"/>
      <c r="F42" s="57">
        <v>50</v>
      </c>
      <c r="G42" s="94">
        <v>50</v>
      </c>
      <c r="H42" s="51">
        <f t="shared" si="12"/>
        <v>309</v>
      </c>
      <c r="I42" s="52">
        <v>309</v>
      </c>
      <c r="J42" s="53"/>
      <c r="K42" s="128">
        <f t="shared" si="0"/>
        <v>6.18</v>
      </c>
      <c r="L42" s="40">
        <f t="shared" si="13"/>
        <v>0</v>
      </c>
      <c r="M42" s="7"/>
      <c r="N42" s="73"/>
    </row>
    <row r="43" spans="1:14" s="26" customFormat="1" ht="12.75">
      <c r="A43" s="112">
        <v>291004</v>
      </c>
      <c r="B43" s="107" t="s">
        <v>222</v>
      </c>
      <c r="C43" s="40">
        <f t="shared" si="11"/>
        <v>0</v>
      </c>
      <c r="D43" s="7">
        <v>0</v>
      </c>
      <c r="E43" s="73"/>
      <c r="F43" s="57"/>
      <c r="G43" s="94"/>
      <c r="H43" s="51">
        <f t="shared" si="12"/>
        <v>9</v>
      </c>
      <c r="I43" s="52">
        <v>9</v>
      </c>
      <c r="J43" s="53"/>
      <c r="K43" s="128"/>
      <c r="L43" s="40"/>
      <c r="M43" s="7"/>
      <c r="N43" s="73"/>
    </row>
    <row r="44" spans="1:14" s="1" customFormat="1" ht="12.75">
      <c r="A44" s="112">
        <v>292027</v>
      </c>
      <c r="B44" s="107" t="s">
        <v>145</v>
      </c>
      <c r="C44" s="40">
        <f t="shared" si="11"/>
        <v>50</v>
      </c>
      <c r="D44" s="7">
        <v>50</v>
      </c>
      <c r="E44" s="73"/>
      <c r="F44" s="57">
        <v>50</v>
      </c>
      <c r="G44" s="94">
        <v>50</v>
      </c>
      <c r="H44" s="51">
        <f t="shared" si="12"/>
        <v>667</v>
      </c>
      <c r="I44" s="52">
        <v>667</v>
      </c>
      <c r="J44" s="53"/>
      <c r="K44" s="128">
        <f aca="true" t="shared" si="14" ref="K44:K86">H44/C44</f>
        <v>13.34</v>
      </c>
      <c r="L44" s="40">
        <f t="shared" si="13"/>
        <v>0</v>
      </c>
      <c r="M44" s="7"/>
      <c r="N44" s="73"/>
    </row>
    <row r="45" spans="1:14" s="1" customFormat="1" ht="12.75">
      <c r="A45" s="112">
        <v>292006</v>
      </c>
      <c r="B45" s="107" t="s">
        <v>224</v>
      </c>
      <c r="C45" s="40">
        <f t="shared" si="11"/>
        <v>602</v>
      </c>
      <c r="D45" s="7">
        <v>602</v>
      </c>
      <c r="E45" s="73"/>
      <c r="F45" s="57"/>
      <c r="G45" s="94"/>
      <c r="H45" s="51">
        <f t="shared" si="12"/>
        <v>602</v>
      </c>
      <c r="I45" s="52">
        <v>602</v>
      </c>
      <c r="J45" s="53"/>
      <c r="K45" s="128">
        <f t="shared" si="14"/>
        <v>1</v>
      </c>
      <c r="L45" s="40"/>
      <c r="M45" s="7"/>
      <c r="N45" s="73"/>
    </row>
    <row r="46" spans="1:14" s="1" customFormat="1" ht="12.75">
      <c r="A46" s="112">
        <v>292008</v>
      </c>
      <c r="B46" s="107" t="s">
        <v>146</v>
      </c>
      <c r="C46" s="40">
        <f t="shared" si="11"/>
        <v>200</v>
      </c>
      <c r="D46" s="7">
        <v>200</v>
      </c>
      <c r="E46" s="73"/>
      <c r="F46" s="57">
        <v>200</v>
      </c>
      <c r="G46" s="94">
        <v>200</v>
      </c>
      <c r="H46" s="51">
        <f t="shared" si="12"/>
        <v>1171</v>
      </c>
      <c r="I46" s="52">
        <v>1171</v>
      </c>
      <c r="J46" s="53"/>
      <c r="K46" s="128">
        <f t="shared" si="14"/>
        <v>5.855</v>
      </c>
      <c r="L46" s="40">
        <f t="shared" si="13"/>
        <v>0</v>
      </c>
      <c r="M46" s="7"/>
      <c r="N46" s="73"/>
    </row>
    <row r="47" spans="1:14" s="1" customFormat="1" ht="12.75">
      <c r="A47" s="112">
        <v>292017</v>
      </c>
      <c r="B47" s="107" t="s">
        <v>223</v>
      </c>
      <c r="C47" s="40">
        <f t="shared" si="11"/>
        <v>0</v>
      </c>
      <c r="D47" s="7">
        <v>0</v>
      </c>
      <c r="E47" s="73"/>
      <c r="F47" s="57"/>
      <c r="G47" s="94"/>
      <c r="H47" s="51">
        <f t="shared" si="12"/>
        <v>700</v>
      </c>
      <c r="I47" s="52">
        <v>700</v>
      </c>
      <c r="J47" s="53"/>
      <c r="K47" s="128"/>
      <c r="L47" s="40"/>
      <c r="M47" s="7"/>
      <c r="N47" s="73"/>
    </row>
    <row r="48" spans="1:14" s="1" customFormat="1" ht="12.75">
      <c r="A48" s="112">
        <v>292021</v>
      </c>
      <c r="B48" s="107" t="s">
        <v>225</v>
      </c>
      <c r="C48" s="40">
        <f t="shared" si="11"/>
        <v>0</v>
      </c>
      <c r="D48" s="7">
        <v>0</v>
      </c>
      <c r="E48" s="73"/>
      <c r="F48" s="57"/>
      <c r="G48" s="94"/>
      <c r="H48" s="51">
        <f t="shared" si="12"/>
        <v>3</v>
      </c>
      <c r="I48" s="52">
        <v>3</v>
      </c>
      <c r="J48" s="53"/>
      <c r="K48" s="128"/>
      <c r="L48" s="40"/>
      <c r="M48" s="7"/>
      <c r="N48" s="73"/>
    </row>
    <row r="49" spans="1:14" s="1" customFormat="1" ht="12.75">
      <c r="A49" s="112">
        <v>231</v>
      </c>
      <c r="B49" s="107" t="s">
        <v>213</v>
      </c>
      <c r="C49" s="40">
        <f t="shared" si="11"/>
        <v>0</v>
      </c>
      <c r="D49" s="7"/>
      <c r="E49" s="73">
        <v>0</v>
      </c>
      <c r="F49" s="57"/>
      <c r="G49" s="94"/>
      <c r="H49" s="51">
        <f t="shared" si="12"/>
        <v>750</v>
      </c>
      <c r="I49" s="52"/>
      <c r="J49" s="53">
        <v>750</v>
      </c>
      <c r="K49" s="128"/>
      <c r="L49" s="40"/>
      <c r="M49" s="7"/>
      <c r="N49" s="73"/>
    </row>
    <row r="50" spans="1:14" s="1" customFormat="1" ht="12.75">
      <c r="A50" s="112">
        <v>233001</v>
      </c>
      <c r="B50" s="107" t="s">
        <v>12</v>
      </c>
      <c r="C50" s="40">
        <f t="shared" si="11"/>
        <v>25800</v>
      </c>
      <c r="D50" s="7">
        <v>0</v>
      </c>
      <c r="E50" s="73">
        <f>500+500+24000+800</f>
        <v>25800</v>
      </c>
      <c r="F50" s="57">
        <f>1000+500</f>
        <v>1500</v>
      </c>
      <c r="G50" s="94">
        <f>1000+500</f>
        <v>1500</v>
      </c>
      <c r="H50" s="51">
        <f t="shared" si="12"/>
        <v>7093</v>
      </c>
      <c r="I50" s="52">
        <v>0</v>
      </c>
      <c r="J50" s="53">
        <v>7093</v>
      </c>
      <c r="K50" s="128">
        <f t="shared" si="14"/>
        <v>0.27492248062015506</v>
      </c>
      <c r="L50" s="40">
        <f t="shared" si="13"/>
        <v>0</v>
      </c>
      <c r="M50" s="7">
        <v>0</v>
      </c>
      <c r="N50" s="73"/>
    </row>
    <row r="51" spans="1:14" s="1" customFormat="1" ht="21.75" customHeight="1">
      <c r="A51" s="109"/>
      <c r="B51" s="108" t="s">
        <v>36</v>
      </c>
      <c r="C51" s="41">
        <f>C23+C24+C25+C26+C27+C33+C34+C38+C40+C41+C42+C44+C46+C50+C28+C49+C35+C39+C43+C45+C49+C48+C47</f>
        <v>45512</v>
      </c>
      <c r="D51" s="14">
        <f>D23+D24+D25+D26+D27+D33+D34+D38+D40+D41+D42+D44+D46+D50+D28+D49+D35+D39+D43+D45+D49+D48+D47</f>
        <v>19712</v>
      </c>
      <c r="E51" s="77">
        <f>E23+E24+E25+E26+E27+E33+E34+E38+E40+E41+E42+E44+E46+E50+E28+E49+E35+E39+E43+E45+E49+E48+E47</f>
        <v>25800</v>
      </c>
      <c r="F51" s="59">
        <f>F23+F24+F25+F26+F27+F33+F34+F38+F40+F41+F42+F44+F46+F50+F28</f>
        <v>21060</v>
      </c>
      <c r="G51" s="133">
        <f>G23+G24+G25+G26+G27+G33+G34+G38+G40+G41+G42+G44+G46+G50+G28</f>
        <v>21160</v>
      </c>
      <c r="H51" s="58">
        <f>H23+H24+H25+H26+H27+H33+H34+H38+H40+H41+H42+H44+H46+H50+H28+H49+H35+H39+H43+H45+H47+H48</f>
        <v>33001</v>
      </c>
      <c r="I51" s="65">
        <f>I23+I24+I25+I26+I27+I33+I34+I38+I40+I41+I42+I44+I46+I50+I28+I49+I35+I39+I43+I45+I47+I48</f>
        <v>25158</v>
      </c>
      <c r="J51" s="72">
        <f>J23+J24+J25+J26+J27+J33+J34+J38+J40+J41+J42+J44+J46+J50+J28+J49+J35+J39+J43+J45+J47+J48</f>
        <v>7843</v>
      </c>
      <c r="K51" s="129">
        <f t="shared" si="14"/>
        <v>0.7251054666901037</v>
      </c>
      <c r="L51" s="41">
        <f>L23+L24+L25+L26+L27+L33+L34+L38+L40+L41+L42+L44+L46+L50+L28</f>
        <v>0</v>
      </c>
      <c r="M51" s="50">
        <f>M23+M24+M25+M26+M27+M33+M34+M38+M40+M41+M42+M44+M46+M50+M28</f>
        <v>0</v>
      </c>
      <c r="N51" s="76">
        <f>N23+N24+N25+N26+N27+N33+N34+N38+N40+N41+N42+N44+N46+N50+N28</f>
        <v>0</v>
      </c>
    </row>
    <row r="52" spans="1:14" s="1" customFormat="1" ht="12.75" customHeight="1">
      <c r="A52" s="112">
        <v>292019</v>
      </c>
      <c r="B52" s="106" t="s">
        <v>147</v>
      </c>
      <c r="C52" s="39">
        <f>D52+E52</f>
        <v>683</v>
      </c>
      <c r="D52" s="13">
        <f>550+133</f>
        <v>683</v>
      </c>
      <c r="E52" s="74"/>
      <c r="F52" s="88">
        <f>G52+H52</f>
        <v>3183</v>
      </c>
      <c r="G52" s="93">
        <f>H52+I52</f>
        <v>2122</v>
      </c>
      <c r="H52" s="54">
        <f>I52+J52</f>
        <v>1061</v>
      </c>
      <c r="I52" s="55">
        <v>1061</v>
      </c>
      <c r="J52" s="56"/>
      <c r="K52" s="128">
        <f t="shared" si="14"/>
        <v>1.5534407027818449</v>
      </c>
      <c r="L52" s="39">
        <f>M52+N52</f>
        <v>0</v>
      </c>
      <c r="M52" s="13"/>
      <c r="N52" s="74"/>
    </row>
    <row r="53" spans="1:14" s="1" customFormat="1" ht="12.75" customHeight="1">
      <c r="A53" s="112" t="s">
        <v>257</v>
      </c>
      <c r="B53" s="106" t="s">
        <v>236</v>
      </c>
      <c r="C53" s="39">
        <f>D53+E53</f>
        <v>115</v>
      </c>
      <c r="D53" s="13">
        <v>115</v>
      </c>
      <c r="E53" s="74"/>
      <c r="F53" s="88"/>
      <c r="G53" s="93"/>
      <c r="H53" s="54">
        <f>I53+J53</f>
        <v>157</v>
      </c>
      <c r="I53" s="55">
        <v>157</v>
      </c>
      <c r="J53" s="56"/>
      <c r="K53" s="128">
        <f t="shared" si="14"/>
        <v>1.3652173913043477</v>
      </c>
      <c r="L53" s="39"/>
      <c r="M53" s="44"/>
      <c r="N53" s="87"/>
    </row>
    <row r="54" spans="1:14" s="1" customFormat="1" ht="12.75" customHeight="1">
      <c r="A54" s="109">
        <v>311</v>
      </c>
      <c r="B54" s="106" t="s">
        <v>237</v>
      </c>
      <c r="C54" s="39">
        <f>D54+E54</f>
        <v>10</v>
      </c>
      <c r="D54" s="13">
        <v>10</v>
      </c>
      <c r="E54" s="74"/>
      <c r="F54" s="88"/>
      <c r="G54" s="93"/>
      <c r="H54" s="54">
        <f>I54+J54</f>
        <v>460</v>
      </c>
      <c r="I54" s="55">
        <v>460</v>
      </c>
      <c r="J54" s="56"/>
      <c r="K54" s="128">
        <f t="shared" si="14"/>
        <v>46</v>
      </c>
      <c r="L54" s="39"/>
      <c r="M54" s="44"/>
      <c r="N54" s="87"/>
    </row>
    <row r="55" spans="1:14" s="1" customFormat="1" ht="12.75" customHeight="1">
      <c r="A55" s="109" t="s">
        <v>258</v>
      </c>
      <c r="B55" s="106" t="s">
        <v>238</v>
      </c>
      <c r="C55" s="39">
        <f>D55+E55</f>
        <v>0</v>
      </c>
      <c r="D55" s="13">
        <v>0</v>
      </c>
      <c r="E55" s="74"/>
      <c r="F55" s="88"/>
      <c r="G55" s="93"/>
      <c r="H55" s="54">
        <f>I55+J55</f>
        <v>55</v>
      </c>
      <c r="I55" s="55">
        <v>55</v>
      </c>
      <c r="J55" s="56"/>
      <c r="K55" s="128"/>
      <c r="L55" s="39"/>
      <c r="M55" s="44"/>
      <c r="N55" s="87"/>
    </row>
    <row r="56" spans="1:14" s="1" customFormat="1" ht="12.75" customHeight="1">
      <c r="A56" s="109" t="s">
        <v>259</v>
      </c>
      <c r="B56" s="106" t="s">
        <v>239</v>
      </c>
      <c r="C56" s="39">
        <f>D56+E56</f>
        <v>0</v>
      </c>
      <c r="D56" s="13">
        <v>0</v>
      </c>
      <c r="E56" s="74"/>
      <c r="F56" s="88"/>
      <c r="G56" s="93"/>
      <c r="H56" s="54">
        <f>I56+J56</f>
        <v>15</v>
      </c>
      <c r="I56" s="55">
        <v>15</v>
      </c>
      <c r="J56" s="56"/>
      <c r="K56" s="128"/>
      <c r="L56" s="39"/>
      <c r="M56" s="44"/>
      <c r="N56" s="87"/>
    </row>
    <row r="57" spans="1:14" s="26" customFormat="1" ht="12.75">
      <c r="A57" s="109"/>
      <c r="B57" s="107" t="s">
        <v>286</v>
      </c>
      <c r="C57" s="40">
        <f>SUM(C52:C56)</f>
        <v>808</v>
      </c>
      <c r="D57" s="7">
        <f>SUM(D52:D56)</f>
        <v>808</v>
      </c>
      <c r="E57" s="73">
        <f>SUM(E52:E56)</f>
        <v>0</v>
      </c>
      <c r="F57" s="57">
        <f aca="true" t="shared" si="15" ref="F57:N57">SUM(F52:F52)</f>
        <v>3183</v>
      </c>
      <c r="G57" s="94">
        <f t="shared" si="15"/>
        <v>2122</v>
      </c>
      <c r="H57" s="51">
        <f>SUM(H52:H56)</f>
        <v>1748</v>
      </c>
      <c r="I57" s="52">
        <f>SUM(I52:I56)</f>
        <v>1748</v>
      </c>
      <c r="J57" s="53">
        <f>SUM(J52:J56)</f>
        <v>0</v>
      </c>
      <c r="K57" s="128">
        <f t="shared" si="14"/>
        <v>2.1633663366336635</v>
      </c>
      <c r="L57" s="40">
        <f t="shared" si="15"/>
        <v>0</v>
      </c>
      <c r="M57" s="12">
        <f t="shared" si="15"/>
        <v>0</v>
      </c>
      <c r="N57" s="75">
        <f t="shared" si="15"/>
        <v>0</v>
      </c>
    </row>
    <row r="58" spans="1:14" s="1" customFormat="1" ht="21.75" customHeight="1">
      <c r="A58" s="109"/>
      <c r="B58" s="108" t="s">
        <v>163</v>
      </c>
      <c r="C58" s="41">
        <f>SUM(C57:C57)</f>
        <v>808</v>
      </c>
      <c r="D58" s="14">
        <f>SUM(D57:D57)</f>
        <v>808</v>
      </c>
      <c r="E58" s="77">
        <f>SUM(E57:E57)</f>
        <v>0</v>
      </c>
      <c r="F58" s="59">
        <f>SUM(F57:F57)</f>
        <v>3183</v>
      </c>
      <c r="G58" s="133">
        <f>SUM(G57:G57)</f>
        <v>2122</v>
      </c>
      <c r="H58" s="58">
        <f aca="true" t="shared" si="16" ref="H58:N58">SUM(H57:H57)</f>
        <v>1748</v>
      </c>
      <c r="I58" s="65">
        <f t="shared" si="16"/>
        <v>1748</v>
      </c>
      <c r="J58" s="72">
        <f t="shared" si="16"/>
        <v>0</v>
      </c>
      <c r="K58" s="129">
        <f t="shared" si="14"/>
        <v>2.1633663366336635</v>
      </c>
      <c r="L58" s="41">
        <f t="shared" si="16"/>
        <v>0</v>
      </c>
      <c r="M58" s="14">
        <f t="shared" si="16"/>
        <v>0</v>
      </c>
      <c r="N58" s="77">
        <f t="shared" si="16"/>
        <v>0</v>
      </c>
    </row>
    <row r="59" spans="1:14" ht="12.75">
      <c r="A59" s="111" t="s">
        <v>260</v>
      </c>
      <c r="B59" s="106" t="s">
        <v>148</v>
      </c>
      <c r="C59" s="39">
        <f aca="true" t="shared" si="17" ref="C59:C84">D59+E59</f>
        <v>74</v>
      </c>
      <c r="D59" s="13">
        <v>74</v>
      </c>
      <c r="E59" s="74"/>
      <c r="F59" s="88">
        <v>75</v>
      </c>
      <c r="G59" s="93">
        <v>75</v>
      </c>
      <c r="H59" s="54">
        <f aca="true" t="shared" si="18" ref="H59:H84">I59+J59</f>
        <v>74</v>
      </c>
      <c r="I59" s="55">
        <v>74</v>
      </c>
      <c r="J59" s="56"/>
      <c r="K59" s="128">
        <f t="shared" si="14"/>
        <v>1</v>
      </c>
      <c r="L59" s="39">
        <f aca="true" t="shared" si="19" ref="L59:L73">M59+N59</f>
        <v>0</v>
      </c>
      <c r="M59" s="13"/>
      <c r="N59" s="74"/>
    </row>
    <row r="60" spans="1:14" ht="12.75">
      <c r="A60" s="111" t="s">
        <v>261</v>
      </c>
      <c r="B60" s="106" t="s">
        <v>149</v>
      </c>
      <c r="C60" s="39">
        <f t="shared" si="17"/>
        <v>59</v>
      </c>
      <c r="D60" s="13">
        <v>59</v>
      </c>
      <c r="E60" s="74"/>
      <c r="F60" s="88">
        <v>60</v>
      </c>
      <c r="G60" s="93">
        <v>60</v>
      </c>
      <c r="H60" s="54">
        <f t="shared" si="18"/>
        <v>59</v>
      </c>
      <c r="I60" s="55">
        <v>59</v>
      </c>
      <c r="J60" s="56"/>
      <c r="K60" s="128">
        <f t="shared" si="14"/>
        <v>1</v>
      </c>
      <c r="L60" s="39">
        <f t="shared" si="19"/>
        <v>0</v>
      </c>
      <c r="M60" s="13"/>
      <c r="N60" s="74"/>
    </row>
    <row r="61" spans="1:14" ht="12.75">
      <c r="A61" s="111" t="s">
        <v>262</v>
      </c>
      <c r="B61" s="106" t="s">
        <v>150</v>
      </c>
      <c r="C61" s="39">
        <f t="shared" si="17"/>
        <v>57840</v>
      </c>
      <c r="D61" s="13">
        <v>57840</v>
      </c>
      <c r="E61" s="74"/>
      <c r="F61" s="88">
        <v>58000</v>
      </c>
      <c r="G61" s="93">
        <v>59000</v>
      </c>
      <c r="H61" s="54">
        <f t="shared" si="18"/>
        <v>57840</v>
      </c>
      <c r="I61" s="55">
        <v>57840</v>
      </c>
      <c r="J61" s="56"/>
      <c r="K61" s="128">
        <f t="shared" si="14"/>
        <v>1</v>
      </c>
      <c r="L61" s="39">
        <f t="shared" si="19"/>
        <v>0</v>
      </c>
      <c r="M61" s="13"/>
      <c r="N61" s="74"/>
    </row>
    <row r="62" spans="1:14" ht="12.75">
      <c r="A62" s="111" t="s">
        <v>263</v>
      </c>
      <c r="B62" s="106" t="s">
        <v>151</v>
      </c>
      <c r="C62" s="39">
        <f t="shared" si="17"/>
        <v>794</v>
      </c>
      <c r="D62" s="13">
        <v>794</v>
      </c>
      <c r="E62" s="74"/>
      <c r="F62" s="88">
        <v>500</v>
      </c>
      <c r="G62" s="93">
        <v>500</v>
      </c>
      <c r="H62" s="54">
        <f t="shared" si="18"/>
        <v>794</v>
      </c>
      <c r="I62" s="55">
        <v>794</v>
      </c>
      <c r="J62" s="56"/>
      <c r="K62" s="128">
        <f t="shared" si="14"/>
        <v>1</v>
      </c>
      <c r="L62" s="39">
        <f t="shared" si="19"/>
        <v>0</v>
      </c>
      <c r="M62" s="13"/>
      <c r="N62" s="74"/>
    </row>
    <row r="63" spans="1:14" s="1" customFormat="1" ht="12.75">
      <c r="A63" s="111" t="s">
        <v>264</v>
      </c>
      <c r="B63" s="106" t="s">
        <v>152</v>
      </c>
      <c r="C63" s="39">
        <f t="shared" si="17"/>
        <v>719</v>
      </c>
      <c r="D63" s="13">
        <v>719</v>
      </c>
      <c r="E63" s="74"/>
      <c r="F63" s="88">
        <v>689</v>
      </c>
      <c r="G63" s="93">
        <v>689</v>
      </c>
      <c r="H63" s="54">
        <f t="shared" si="18"/>
        <v>719</v>
      </c>
      <c r="I63" s="55">
        <v>719</v>
      </c>
      <c r="J63" s="56"/>
      <c r="K63" s="128">
        <f t="shared" si="14"/>
        <v>1</v>
      </c>
      <c r="L63" s="39">
        <f t="shared" si="19"/>
        <v>0</v>
      </c>
      <c r="M63" s="13"/>
      <c r="N63" s="74"/>
    </row>
    <row r="64" spans="1:14" ht="12.75">
      <c r="A64" s="111" t="s">
        <v>265</v>
      </c>
      <c r="B64" s="106" t="s">
        <v>153</v>
      </c>
      <c r="C64" s="39">
        <f t="shared" si="17"/>
        <v>219</v>
      </c>
      <c r="D64" s="13">
        <v>219</v>
      </c>
      <c r="E64" s="74"/>
      <c r="F64" s="88">
        <v>250</v>
      </c>
      <c r="G64" s="93">
        <v>250</v>
      </c>
      <c r="H64" s="54">
        <f t="shared" si="18"/>
        <v>219</v>
      </c>
      <c r="I64" s="55">
        <v>219</v>
      </c>
      <c r="J64" s="56"/>
      <c r="K64" s="128">
        <f t="shared" si="14"/>
        <v>1</v>
      </c>
      <c r="L64" s="39">
        <f t="shared" si="19"/>
        <v>0</v>
      </c>
      <c r="M64" s="13"/>
      <c r="N64" s="74"/>
    </row>
    <row r="65" spans="1:14" ht="12.75">
      <c r="A65" s="111" t="s">
        <v>266</v>
      </c>
      <c r="B65" s="106" t="s">
        <v>154</v>
      </c>
      <c r="C65" s="39">
        <f t="shared" si="17"/>
        <v>26</v>
      </c>
      <c r="D65" s="13">
        <v>26</v>
      </c>
      <c r="E65" s="74"/>
      <c r="F65" s="88">
        <v>67</v>
      </c>
      <c r="G65" s="93">
        <v>67</v>
      </c>
      <c r="H65" s="54">
        <f t="shared" si="18"/>
        <v>26</v>
      </c>
      <c r="I65" s="55">
        <v>26</v>
      </c>
      <c r="J65" s="56"/>
      <c r="K65" s="128">
        <f t="shared" si="14"/>
        <v>1</v>
      </c>
      <c r="L65" s="39">
        <f t="shared" si="19"/>
        <v>0</v>
      </c>
      <c r="M65" s="13"/>
      <c r="N65" s="74"/>
    </row>
    <row r="66" spans="1:14" ht="12.75">
      <c r="A66" s="111" t="s">
        <v>267</v>
      </c>
      <c r="B66" s="106" t="s">
        <v>155</v>
      </c>
      <c r="C66" s="39">
        <f t="shared" si="17"/>
        <v>301</v>
      </c>
      <c r="D66" s="13">
        <v>301</v>
      </c>
      <c r="E66" s="74"/>
      <c r="F66" s="88">
        <v>410</v>
      </c>
      <c r="G66" s="93">
        <v>410</v>
      </c>
      <c r="H66" s="54">
        <f t="shared" si="18"/>
        <v>301</v>
      </c>
      <c r="I66" s="55">
        <v>301</v>
      </c>
      <c r="J66" s="56"/>
      <c r="K66" s="128">
        <f t="shared" si="14"/>
        <v>1</v>
      </c>
      <c r="L66" s="39">
        <f t="shared" si="19"/>
        <v>0</v>
      </c>
      <c r="M66" s="13"/>
      <c r="N66" s="74"/>
    </row>
    <row r="67" spans="1:14" ht="12.75">
      <c r="A67" s="111" t="s">
        <v>268</v>
      </c>
      <c r="B67" s="106" t="s">
        <v>156</v>
      </c>
      <c r="C67" s="39">
        <f t="shared" si="17"/>
        <v>473</v>
      </c>
      <c r="D67" s="13">
        <v>473</v>
      </c>
      <c r="E67" s="74"/>
      <c r="F67" s="88">
        <v>450</v>
      </c>
      <c r="G67" s="93">
        <v>450</v>
      </c>
      <c r="H67" s="54">
        <f t="shared" si="18"/>
        <v>473</v>
      </c>
      <c r="I67" s="55">
        <v>473</v>
      </c>
      <c r="J67" s="56"/>
      <c r="K67" s="128">
        <f t="shared" si="14"/>
        <v>1</v>
      </c>
      <c r="L67" s="39">
        <f t="shared" si="19"/>
        <v>0</v>
      </c>
      <c r="M67" s="13"/>
      <c r="N67" s="74"/>
    </row>
    <row r="68" spans="1:14" ht="12.75">
      <c r="A68" s="111" t="s">
        <v>269</v>
      </c>
      <c r="B68" s="106" t="s">
        <v>157</v>
      </c>
      <c r="C68" s="39">
        <f t="shared" si="17"/>
        <v>100</v>
      </c>
      <c r="D68" s="13">
        <v>100</v>
      </c>
      <c r="E68" s="74"/>
      <c r="F68" s="88">
        <v>273</v>
      </c>
      <c r="G68" s="93">
        <v>273</v>
      </c>
      <c r="H68" s="54">
        <f t="shared" si="18"/>
        <v>100</v>
      </c>
      <c r="I68" s="55">
        <v>100</v>
      </c>
      <c r="J68" s="56"/>
      <c r="K68" s="128">
        <f t="shared" si="14"/>
        <v>1</v>
      </c>
      <c r="L68" s="39">
        <f t="shared" si="19"/>
        <v>0</v>
      </c>
      <c r="M68" s="13"/>
      <c r="N68" s="74"/>
    </row>
    <row r="69" spans="1:14" ht="12.75">
      <c r="A69" s="111" t="s">
        <v>270</v>
      </c>
      <c r="B69" s="106" t="s">
        <v>158</v>
      </c>
      <c r="C69" s="39">
        <f t="shared" si="17"/>
        <v>1385</v>
      </c>
      <c r="D69" s="13">
        <v>1385</v>
      </c>
      <c r="E69" s="74"/>
      <c r="F69" s="88">
        <v>1513</v>
      </c>
      <c r="G69" s="93">
        <v>1513</v>
      </c>
      <c r="H69" s="54">
        <f t="shared" si="18"/>
        <v>1385</v>
      </c>
      <c r="I69" s="55">
        <v>1385</v>
      </c>
      <c r="J69" s="56"/>
      <c r="K69" s="128">
        <f t="shared" si="14"/>
        <v>1</v>
      </c>
      <c r="L69" s="39">
        <f t="shared" si="19"/>
        <v>0</v>
      </c>
      <c r="M69" s="13"/>
      <c r="N69" s="74"/>
    </row>
    <row r="70" spans="1:14" ht="12.75">
      <c r="A70" s="111" t="s">
        <v>271</v>
      </c>
      <c r="B70" s="106" t="s">
        <v>159</v>
      </c>
      <c r="C70" s="39">
        <f t="shared" si="17"/>
        <v>65</v>
      </c>
      <c r="D70" s="13">
        <v>65</v>
      </c>
      <c r="E70" s="74"/>
      <c r="F70" s="88">
        <v>150</v>
      </c>
      <c r="G70" s="93">
        <v>150</v>
      </c>
      <c r="H70" s="54">
        <f t="shared" si="18"/>
        <v>65</v>
      </c>
      <c r="I70" s="55">
        <v>65</v>
      </c>
      <c r="J70" s="56"/>
      <c r="K70" s="128">
        <f t="shared" si="14"/>
        <v>1</v>
      </c>
      <c r="L70" s="39">
        <f t="shared" si="19"/>
        <v>0</v>
      </c>
      <c r="M70" s="13"/>
      <c r="N70" s="74"/>
    </row>
    <row r="71" spans="1:14" ht="12.75">
      <c r="A71" s="111" t="s">
        <v>272</v>
      </c>
      <c r="B71" s="106" t="s">
        <v>160</v>
      </c>
      <c r="C71" s="39">
        <f t="shared" si="17"/>
        <v>153</v>
      </c>
      <c r="D71" s="13">
        <v>153</v>
      </c>
      <c r="E71" s="74"/>
      <c r="F71" s="88">
        <v>60</v>
      </c>
      <c r="G71" s="93">
        <v>60</v>
      </c>
      <c r="H71" s="54">
        <f t="shared" si="18"/>
        <v>153</v>
      </c>
      <c r="I71" s="55">
        <v>153</v>
      </c>
      <c r="J71" s="56"/>
      <c r="K71" s="128">
        <f t="shared" si="14"/>
        <v>1</v>
      </c>
      <c r="L71" s="39">
        <f t="shared" si="19"/>
        <v>0</v>
      </c>
      <c r="M71" s="13"/>
      <c r="N71" s="74"/>
    </row>
    <row r="72" spans="1:14" ht="12.75">
      <c r="A72" s="111" t="s">
        <v>273</v>
      </c>
      <c r="B72" s="106" t="s">
        <v>161</v>
      </c>
      <c r="C72" s="39">
        <f t="shared" si="17"/>
        <v>186</v>
      </c>
      <c r="D72" s="13">
        <v>186</v>
      </c>
      <c r="E72" s="74"/>
      <c r="F72" s="88">
        <v>180</v>
      </c>
      <c r="G72" s="93">
        <v>180</v>
      </c>
      <c r="H72" s="54">
        <f t="shared" si="18"/>
        <v>186</v>
      </c>
      <c r="I72" s="55">
        <v>186</v>
      </c>
      <c r="J72" s="56"/>
      <c r="K72" s="128">
        <f t="shared" si="14"/>
        <v>1</v>
      </c>
      <c r="L72" s="39">
        <f t="shared" si="19"/>
        <v>0</v>
      </c>
      <c r="M72" s="13"/>
      <c r="N72" s="74"/>
    </row>
    <row r="73" spans="1:14" ht="12.75">
      <c r="A73" s="111" t="s">
        <v>274</v>
      </c>
      <c r="B73" s="106" t="s">
        <v>162</v>
      </c>
      <c r="C73" s="39">
        <f t="shared" si="17"/>
        <v>384</v>
      </c>
      <c r="D73" s="13">
        <v>384</v>
      </c>
      <c r="E73" s="74"/>
      <c r="F73" s="88">
        <v>250</v>
      </c>
      <c r="G73" s="93">
        <v>250</v>
      </c>
      <c r="H73" s="54">
        <f t="shared" si="18"/>
        <v>384</v>
      </c>
      <c r="I73" s="55">
        <v>384</v>
      </c>
      <c r="J73" s="56"/>
      <c r="K73" s="128">
        <f t="shared" si="14"/>
        <v>1</v>
      </c>
      <c r="L73" s="39">
        <f t="shared" si="19"/>
        <v>0</v>
      </c>
      <c r="M73" s="13"/>
      <c r="N73" s="74"/>
    </row>
    <row r="74" spans="1:14" ht="12.75">
      <c r="A74" s="111" t="s">
        <v>275</v>
      </c>
      <c r="B74" s="106" t="s">
        <v>226</v>
      </c>
      <c r="C74" s="39">
        <f t="shared" si="17"/>
        <v>561</v>
      </c>
      <c r="D74" s="13">
        <v>561</v>
      </c>
      <c r="E74" s="74"/>
      <c r="F74" s="88"/>
      <c r="G74" s="93"/>
      <c r="H74" s="54">
        <f t="shared" si="18"/>
        <v>561</v>
      </c>
      <c r="I74" s="55">
        <v>561</v>
      </c>
      <c r="J74" s="56"/>
      <c r="K74" s="128">
        <f t="shared" si="14"/>
        <v>1</v>
      </c>
      <c r="L74" s="39"/>
      <c r="M74" s="44"/>
      <c r="N74" s="87"/>
    </row>
    <row r="75" spans="1:14" ht="12.75">
      <c r="A75" s="111" t="s">
        <v>276</v>
      </c>
      <c r="B75" s="106" t="s">
        <v>227</v>
      </c>
      <c r="C75" s="39">
        <f t="shared" si="17"/>
        <v>5</v>
      </c>
      <c r="D75" s="13">
        <v>5</v>
      </c>
      <c r="E75" s="74"/>
      <c r="F75" s="88"/>
      <c r="G75" s="93"/>
      <c r="H75" s="54">
        <f t="shared" si="18"/>
        <v>5</v>
      </c>
      <c r="I75" s="55">
        <v>5</v>
      </c>
      <c r="J75" s="56"/>
      <c r="K75" s="128">
        <f t="shared" si="14"/>
        <v>1</v>
      </c>
      <c r="L75" s="39"/>
      <c r="M75" s="44"/>
      <c r="N75" s="87"/>
    </row>
    <row r="76" spans="1:14" ht="12.75">
      <c r="A76" s="111" t="s">
        <v>277</v>
      </c>
      <c r="B76" s="106" t="s">
        <v>228</v>
      </c>
      <c r="C76" s="39">
        <f t="shared" si="17"/>
        <v>27</v>
      </c>
      <c r="D76" s="13">
        <v>27</v>
      </c>
      <c r="E76" s="74"/>
      <c r="F76" s="88"/>
      <c r="G76" s="93"/>
      <c r="H76" s="54">
        <f t="shared" si="18"/>
        <v>27</v>
      </c>
      <c r="I76" s="55">
        <v>27</v>
      </c>
      <c r="J76" s="56"/>
      <c r="K76" s="128">
        <f t="shared" si="14"/>
        <v>1</v>
      </c>
      <c r="L76" s="39"/>
      <c r="M76" s="44"/>
      <c r="N76" s="87"/>
    </row>
    <row r="77" spans="1:14" ht="12.75">
      <c r="A77" s="111" t="s">
        <v>278</v>
      </c>
      <c r="B77" s="106" t="s">
        <v>229</v>
      </c>
      <c r="C77" s="39">
        <f t="shared" si="17"/>
        <v>200</v>
      </c>
      <c r="D77" s="13">
        <v>200</v>
      </c>
      <c r="E77" s="74"/>
      <c r="F77" s="88"/>
      <c r="G77" s="93"/>
      <c r="H77" s="54">
        <f t="shared" si="18"/>
        <v>200</v>
      </c>
      <c r="I77" s="55">
        <v>200</v>
      </c>
      <c r="J77" s="56"/>
      <c r="K77" s="128">
        <f t="shared" si="14"/>
        <v>1</v>
      </c>
      <c r="L77" s="39"/>
      <c r="M77" s="44"/>
      <c r="N77" s="87"/>
    </row>
    <row r="78" spans="1:14" ht="12.75">
      <c r="A78" s="111" t="s">
        <v>279</v>
      </c>
      <c r="B78" s="106" t="s">
        <v>230</v>
      </c>
      <c r="C78" s="39">
        <f t="shared" si="17"/>
        <v>6</v>
      </c>
      <c r="D78" s="13">
        <v>6</v>
      </c>
      <c r="E78" s="74"/>
      <c r="F78" s="88"/>
      <c r="G78" s="93"/>
      <c r="H78" s="54">
        <f t="shared" si="18"/>
        <v>6</v>
      </c>
      <c r="I78" s="55">
        <v>6</v>
      </c>
      <c r="J78" s="56"/>
      <c r="K78" s="128">
        <f t="shared" si="14"/>
        <v>1</v>
      </c>
      <c r="L78" s="39"/>
      <c r="M78" s="44"/>
      <c r="N78" s="87"/>
    </row>
    <row r="79" spans="1:14" ht="12.75">
      <c r="A79" s="111" t="s">
        <v>280</v>
      </c>
      <c r="B79" s="106" t="s">
        <v>231</v>
      </c>
      <c r="C79" s="39">
        <f t="shared" si="17"/>
        <v>245</v>
      </c>
      <c r="D79" s="13">
        <v>245</v>
      </c>
      <c r="E79" s="74"/>
      <c r="F79" s="88"/>
      <c r="G79" s="93"/>
      <c r="H79" s="54">
        <f t="shared" si="18"/>
        <v>245</v>
      </c>
      <c r="I79" s="55">
        <v>245</v>
      </c>
      <c r="J79" s="56"/>
      <c r="K79" s="128">
        <f t="shared" si="14"/>
        <v>1</v>
      </c>
      <c r="L79" s="39"/>
      <c r="M79" s="44"/>
      <c r="N79" s="87"/>
    </row>
    <row r="80" spans="1:14" ht="12.75">
      <c r="A80" s="111" t="s">
        <v>281</v>
      </c>
      <c r="B80" s="106" t="s">
        <v>232</v>
      </c>
      <c r="C80" s="39">
        <f t="shared" si="17"/>
        <v>216</v>
      </c>
      <c r="D80" s="13">
        <v>216</v>
      </c>
      <c r="E80" s="74"/>
      <c r="F80" s="88"/>
      <c r="G80" s="93"/>
      <c r="H80" s="54">
        <f t="shared" si="18"/>
        <v>216</v>
      </c>
      <c r="I80" s="55">
        <v>216</v>
      </c>
      <c r="J80" s="56"/>
      <c r="K80" s="128">
        <f t="shared" si="14"/>
        <v>1</v>
      </c>
      <c r="L80" s="39"/>
      <c r="M80" s="44"/>
      <c r="N80" s="87"/>
    </row>
    <row r="81" spans="1:14" ht="12.75">
      <c r="A81" s="111" t="s">
        <v>282</v>
      </c>
      <c r="B81" s="106" t="s">
        <v>233</v>
      </c>
      <c r="C81" s="39">
        <f t="shared" si="17"/>
        <v>230</v>
      </c>
      <c r="D81" s="13">
        <v>230</v>
      </c>
      <c r="E81" s="74"/>
      <c r="F81" s="88"/>
      <c r="G81" s="93"/>
      <c r="H81" s="54">
        <f t="shared" si="18"/>
        <v>230</v>
      </c>
      <c r="I81" s="55">
        <v>230</v>
      </c>
      <c r="J81" s="56"/>
      <c r="K81" s="128">
        <f t="shared" si="14"/>
        <v>1</v>
      </c>
      <c r="L81" s="39"/>
      <c r="M81" s="44"/>
      <c r="N81" s="87"/>
    </row>
    <row r="82" spans="1:14" ht="12.75">
      <c r="A82" s="111" t="s">
        <v>283</v>
      </c>
      <c r="B82" s="106" t="s">
        <v>234</v>
      </c>
      <c r="C82" s="39">
        <f t="shared" si="17"/>
        <v>4700</v>
      </c>
      <c r="D82" s="13">
        <v>4700</v>
      </c>
      <c r="E82" s="74"/>
      <c r="F82" s="88"/>
      <c r="G82" s="93"/>
      <c r="H82" s="54">
        <f t="shared" si="18"/>
        <v>4700</v>
      </c>
      <c r="I82" s="55">
        <v>4700</v>
      </c>
      <c r="J82" s="56"/>
      <c r="K82" s="128">
        <f t="shared" si="14"/>
        <v>1</v>
      </c>
      <c r="L82" s="39"/>
      <c r="M82" s="44"/>
      <c r="N82" s="87"/>
    </row>
    <row r="83" spans="1:14" ht="12.75">
      <c r="A83" s="111" t="s">
        <v>284</v>
      </c>
      <c r="B83" s="106" t="s">
        <v>235</v>
      </c>
      <c r="C83" s="39">
        <f t="shared" si="17"/>
        <v>132</v>
      </c>
      <c r="D83" s="13">
        <v>132</v>
      </c>
      <c r="E83" s="74"/>
      <c r="F83" s="88"/>
      <c r="G83" s="93"/>
      <c r="H83" s="54">
        <f t="shared" si="18"/>
        <v>132</v>
      </c>
      <c r="I83" s="55">
        <v>132</v>
      </c>
      <c r="J83" s="56"/>
      <c r="K83" s="128">
        <f t="shared" si="14"/>
        <v>1</v>
      </c>
      <c r="L83" s="39"/>
      <c r="M83" s="44"/>
      <c r="N83" s="87"/>
    </row>
    <row r="84" spans="1:14" ht="12.75">
      <c r="A84" s="111" t="s">
        <v>285</v>
      </c>
      <c r="B84" s="106" t="s">
        <v>214</v>
      </c>
      <c r="C84" s="39">
        <f t="shared" si="17"/>
        <v>15824</v>
      </c>
      <c r="D84" s="13"/>
      <c r="E84" s="74">
        <v>15824</v>
      </c>
      <c r="F84" s="88"/>
      <c r="G84" s="93"/>
      <c r="H84" s="54">
        <f t="shared" si="18"/>
        <v>15824</v>
      </c>
      <c r="I84" s="55"/>
      <c r="J84" s="56">
        <v>15824</v>
      </c>
      <c r="K84" s="128">
        <f t="shared" si="14"/>
        <v>1</v>
      </c>
      <c r="L84" s="39"/>
      <c r="M84" s="44"/>
      <c r="N84" s="87"/>
    </row>
    <row r="85" spans="1:14" s="1" customFormat="1" ht="21.75" customHeight="1">
      <c r="A85" s="109"/>
      <c r="B85" s="108" t="s">
        <v>164</v>
      </c>
      <c r="C85" s="41">
        <f>SUM(C59:C84)</f>
        <v>84924</v>
      </c>
      <c r="D85" s="14">
        <f>SUM(D59:D84)</f>
        <v>69100</v>
      </c>
      <c r="E85" s="77">
        <f>SUM(E59:E84)</f>
        <v>15824</v>
      </c>
      <c r="F85" s="59">
        <f aca="true" t="shared" si="20" ref="F85:N85">SUM(F59:F73)</f>
        <v>62927</v>
      </c>
      <c r="G85" s="133">
        <f t="shared" si="20"/>
        <v>63927</v>
      </c>
      <c r="H85" s="58">
        <f>SUM(H59:H84)</f>
        <v>84924</v>
      </c>
      <c r="I85" s="65">
        <f>SUM(I59:I84)</f>
        <v>69100</v>
      </c>
      <c r="J85" s="72">
        <f>SUM(J59:J84)</f>
        <v>15824</v>
      </c>
      <c r="K85" s="129">
        <f t="shared" si="14"/>
        <v>1</v>
      </c>
      <c r="L85" s="41">
        <f t="shared" si="20"/>
        <v>0</v>
      </c>
      <c r="M85" s="50">
        <f t="shared" si="20"/>
        <v>0</v>
      </c>
      <c r="N85" s="76">
        <f t="shared" si="20"/>
        <v>0</v>
      </c>
    </row>
    <row r="86" spans="1:14" s="1" customFormat="1" ht="21.75" customHeight="1">
      <c r="A86" s="109"/>
      <c r="B86" s="108" t="s">
        <v>128</v>
      </c>
      <c r="C86" s="41">
        <f aca="true" t="shared" si="21" ref="C86:J86">C85+C58+C51+C22</f>
        <v>334488</v>
      </c>
      <c r="D86" s="14">
        <f t="shared" si="21"/>
        <v>292864</v>
      </c>
      <c r="E86" s="77">
        <f t="shared" si="21"/>
        <v>41624</v>
      </c>
      <c r="F86" s="59">
        <f t="shared" si="21"/>
        <v>283450</v>
      </c>
      <c r="G86" s="133">
        <f t="shared" si="21"/>
        <v>287989</v>
      </c>
      <c r="H86" s="58">
        <f t="shared" si="21"/>
        <v>321557</v>
      </c>
      <c r="I86" s="65">
        <f t="shared" si="21"/>
        <v>297890</v>
      </c>
      <c r="J86" s="72">
        <f t="shared" si="21"/>
        <v>23667</v>
      </c>
      <c r="K86" s="129">
        <f t="shared" si="14"/>
        <v>0.9613409150701968</v>
      </c>
      <c r="L86" s="41">
        <f>L85+L58+L51+L22</f>
        <v>3800</v>
      </c>
      <c r="M86" s="50">
        <f>M85+M58+M51+M22</f>
        <v>3800</v>
      </c>
      <c r="N86" s="76">
        <f>N85+N58+N51+N22</f>
        <v>0</v>
      </c>
    </row>
    <row r="87" spans="1:14" s="1" customFormat="1" ht="15.75" customHeight="1">
      <c r="A87" s="109"/>
      <c r="B87" s="27"/>
      <c r="C87" s="41"/>
      <c r="D87" s="14"/>
      <c r="E87" s="77"/>
      <c r="F87" s="59"/>
      <c r="G87" s="133"/>
      <c r="H87" s="58"/>
      <c r="I87" s="65"/>
      <c r="J87" s="72"/>
      <c r="K87" s="134"/>
      <c r="L87" s="78"/>
      <c r="M87" s="28"/>
      <c r="N87" s="79"/>
    </row>
    <row r="88" spans="1:14" s="1" customFormat="1" ht="12.75">
      <c r="A88" s="109">
        <v>453</v>
      </c>
      <c r="B88" s="106" t="s">
        <v>212</v>
      </c>
      <c r="C88" s="39">
        <f>D88+E88</f>
        <v>184</v>
      </c>
      <c r="D88" s="13">
        <v>184</v>
      </c>
      <c r="E88" s="74"/>
      <c r="F88" s="88"/>
      <c r="G88" s="93"/>
      <c r="H88" s="54">
        <f>I88+J88</f>
        <v>184</v>
      </c>
      <c r="I88" s="55">
        <v>184</v>
      </c>
      <c r="J88" s="56"/>
      <c r="K88" s="128">
        <f>H88/C88</f>
        <v>1</v>
      </c>
      <c r="L88" s="39"/>
      <c r="M88" s="13"/>
      <c r="N88" s="74"/>
    </row>
    <row r="89" spans="1:14" s="1" customFormat="1" ht="12.75">
      <c r="A89" s="112">
        <v>454001</v>
      </c>
      <c r="B89" s="106" t="s">
        <v>207</v>
      </c>
      <c r="C89" s="39">
        <f>D89+E89</f>
        <v>26450</v>
      </c>
      <c r="D89" s="13">
        <v>26450</v>
      </c>
      <c r="E89" s="74"/>
      <c r="F89" s="88">
        <v>18500</v>
      </c>
      <c r="G89" s="93">
        <v>18500</v>
      </c>
      <c r="H89" s="54">
        <f>I89+J89</f>
        <v>6180</v>
      </c>
      <c r="I89" s="55">
        <v>6180</v>
      </c>
      <c r="J89" s="56"/>
      <c r="K89" s="128">
        <f>H89/C89</f>
        <v>0.23364839319470698</v>
      </c>
      <c r="L89" s="39">
        <f>M89+N89</f>
        <v>0</v>
      </c>
      <c r="M89" s="13">
        <v>0</v>
      </c>
      <c r="N89" s="74"/>
    </row>
    <row r="90" spans="1:14" s="1" customFormat="1" ht="12.75">
      <c r="A90" s="112">
        <v>454002</v>
      </c>
      <c r="B90" s="106" t="s">
        <v>208</v>
      </c>
      <c r="C90" s="39">
        <f>D90+E90</f>
        <v>4500</v>
      </c>
      <c r="D90" s="13">
        <v>4500</v>
      </c>
      <c r="E90" s="137"/>
      <c r="F90" s="88"/>
      <c r="G90" s="93"/>
      <c r="H90" s="54">
        <f>I90+J90</f>
        <v>4500</v>
      </c>
      <c r="I90" s="55">
        <v>4500</v>
      </c>
      <c r="J90" s="56"/>
      <c r="K90" s="128">
        <f>H90/C90</f>
        <v>1</v>
      </c>
      <c r="L90" s="95"/>
      <c r="M90" s="96"/>
      <c r="N90" s="97"/>
    </row>
    <row r="91" spans="1:14" s="1" customFormat="1" ht="12.75">
      <c r="A91" s="112">
        <v>513002</v>
      </c>
      <c r="B91" s="106" t="s">
        <v>209</v>
      </c>
      <c r="C91" s="39">
        <f>D91+E91</f>
        <v>90000</v>
      </c>
      <c r="D91" s="13">
        <v>90000</v>
      </c>
      <c r="E91" s="74"/>
      <c r="F91" s="88"/>
      <c r="G91" s="93"/>
      <c r="H91" s="54">
        <f>I91+J91</f>
        <v>90000</v>
      </c>
      <c r="I91" s="55">
        <v>90000</v>
      </c>
      <c r="J91" s="56"/>
      <c r="K91" s="128">
        <f>H91/C91</f>
        <v>1</v>
      </c>
      <c r="L91" s="95"/>
      <c r="M91" s="96"/>
      <c r="N91" s="97"/>
    </row>
    <row r="92" spans="1:14" s="1" customFormat="1" ht="13.5" thickBot="1">
      <c r="A92" s="109"/>
      <c r="B92" s="107" t="s">
        <v>31</v>
      </c>
      <c r="C92" s="42">
        <f>SUM(C88:C91)</f>
        <v>121134</v>
      </c>
      <c r="D92" s="138">
        <f>SUM(D88:D91)</f>
        <v>121134</v>
      </c>
      <c r="E92" s="139">
        <f>SUM(E88:E91)</f>
        <v>0</v>
      </c>
      <c r="F92" s="57">
        <f aca="true" t="shared" si="22" ref="F92:N92">SUM(F89:F89)</f>
        <v>18500</v>
      </c>
      <c r="G92" s="94">
        <f t="shared" si="22"/>
        <v>18500</v>
      </c>
      <c r="H92" s="60">
        <f>SUM(H88:H91)</f>
        <v>100864</v>
      </c>
      <c r="I92" s="141">
        <f>SUM(I88:I91)</f>
        <v>100864</v>
      </c>
      <c r="J92" s="142">
        <f>SUM(J88:J91)</f>
        <v>0</v>
      </c>
      <c r="K92" s="135">
        <f>H92/C92</f>
        <v>0.8326646523684514</v>
      </c>
      <c r="L92" s="42">
        <f t="shared" si="22"/>
        <v>0</v>
      </c>
      <c r="M92" s="80">
        <f t="shared" si="22"/>
        <v>0</v>
      </c>
      <c r="N92" s="81">
        <f t="shared" si="22"/>
        <v>0</v>
      </c>
    </row>
    <row r="93" spans="2:14" ht="12.75">
      <c r="B93" s="25"/>
      <c r="C93" s="25"/>
      <c r="D93" s="25"/>
      <c r="E93" s="25"/>
      <c r="H93" s="25"/>
      <c r="I93" s="25"/>
      <c r="J93" s="25"/>
      <c r="K93" s="90"/>
      <c r="L93" s="25"/>
      <c r="M93" s="25"/>
      <c r="N93" s="25"/>
    </row>
    <row r="94" spans="2:14" s="31" customFormat="1" ht="15">
      <c r="B94" s="29" t="s">
        <v>165</v>
      </c>
      <c r="C94" s="30">
        <f>C86+C92</f>
        <v>455622</v>
      </c>
      <c r="E94" s="29"/>
      <c r="F94" s="30">
        <f>F86+F92</f>
        <v>301950</v>
      </c>
      <c r="G94" s="30">
        <f>G86+G92</f>
        <v>306489</v>
      </c>
      <c r="H94" s="30">
        <f>H86+H92</f>
        <v>422421</v>
      </c>
      <c r="J94" s="29"/>
      <c r="K94" s="43">
        <f>H94/C94</f>
        <v>0.9271303843975928</v>
      </c>
      <c r="L94" s="30">
        <f>L86+L92</f>
        <v>3800</v>
      </c>
      <c r="N94" s="29"/>
    </row>
  </sheetData>
  <mergeCells count="11">
    <mergeCell ref="A2:A3"/>
    <mergeCell ref="B2:B3"/>
    <mergeCell ref="F2:F3"/>
    <mergeCell ref="G2:G3"/>
    <mergeCell ref="C2:C3"/>
    <mergeCell ref="D2:E2"/>
    <mergeCell ref="H2:H3"/>
    <mergeCell ref="I2:J2"/>
    <mergeCell ref="L2:L3"/>
    <mergeCell ref="M2:N2"/>
    <mergeCell ref="K2:K3"/>
  </mergeCells>
  <printOptions/>
  <pageMargins left="0.7" right="0.1968503937007874" top="0.31" bottom="0.19" header="0.1968503937007874" footer="0.1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87">
      <selection activeCell="I113" sqref="I113"/>
    </sheetView>
  </sheetViews>
  <sheetFormatPr defaultColWidth="9.140625" defaultRowHeight="12.75"/>
  <cols>
    <col min="1" max="1" width="6.00390625" style="18" bestFit="1" customWidth="1"/>
    <col min="2" max="2" width="48.28125" style="9" customWidth="1"/>
    <col min="3" max="3" width="8.57421875" style="9" customWidth="1"/>
    <col min="4" max="4" width="8.7109375" style="9" customWidth="1"/>
    <col min="5" max="5" width="9.00390625" style="9" customWidth="1"/>
    <col min="6" max="7" width="9.140625" style="9" hidden="1" customWidth="1"/>
    <col min="8" max="11" width="9.140625" style="9" customWidth="1"/>
    <col min="12" max="14" width="0" style="9" hidden="1" customWidth="1"/>
    <col min="15" max="16384" width="9.140625" style="9" customWidth="1"/>
  </cols>
  <sheetData>
    <row r="1" spans="1:2" s="8" customFormat="1" ht="12" thickBot="1">
      <c r="A1" s="15"/>
      <c r="B1" s="4" t="s">
        <v>187</v>
      </c>
    </row>
    <row r="2" spans="1:14" ht="11.25" customHeight="1">
      <c r="A2" s="124" t="s">
        <v>13</v>
      </c>
      <c r="B2" s="125"/>
      <c r="C2" s="114" t="s">
        <v>128</v>
      </c>
      <c r="D2" s="116" t="s">
        <v>33</v>
      </c>
      <c r="E2" s="117"/>
      <c r="F2" s="130">
        <v>2009</v>
      </c>
      <c r="G2" s="131">
        <v>2010</v>
      </c>
      <c r="H2" s="114" t="s">
        <v>203</v>
      </c>
      <c r="I2" s="116" t="s">
        <v>33</v>
      </c>
      <c r="J2" s="117"/>
      <c r="K2" s="126" t="s">
        <v>170</v>
      </c>
      <c r="L2" s="114" t="s">
        <v>190</v>
      </c>
      <c r="M2" s="116" t="s">
        <v>33</v>
      </c>
      <c r="N2" s="117"/>
    </row>
    <row r="3" spans="1:14" s="8" customFormat="1" ht="15" customHeight="1">
      <c r="A3" s="66" t="s">
        <v>37</v>
      </c>
      <c r="B3" s="62" t="s">
        <v>38</v>
      </c>
      <c r="C3" s="115"/>
      <c r="D3" s="11" t="s">
        <v>172</v>
      </c>
      <c r="E3" s="38" t="s">
        <v>173</v>
      </c>
      <c r="F3" s="130"/>
      <c r="G3" s="131"/>
      <c r="H3" s="115"/>
      <c r="I3" s="11" t="s">
        <v>172</v>
      </c>
      <c r="J3" s="38" t="s">
        <v>173</v>
      </c>
      <c r="K3" s="127"/>
      <c r="L3" s="115"/>
      <c r="M3" s="11" t="s">
        <v>172</v>
      </c>
      <c r="N3" s="38" t="s">
        <v>173</v>
      </c>
    </row>
    <row r="4" spans="1:14" ht="11.25">
      <c r="A4" s="16" t="s">
        <v>39</v>
      </c>
      <c r="B4" s="47" t="s">
        <v>40</v>
      </c>
      <c r="C4" s="39">
        <f aca="true" t="shared" si="0" ref="C4:C9">D4+E4</f>
        <v>33247</v>
      </c>
      <c r="D4" s="13">
        <v>33247</v>
      </c>
      <c r="E4" s="74"/>
      <c r="F4" s="88">
        <v>33800</v>
      </c>
      <c r="G4" s="93">
        <f>33800*1.04</f>
        <v>35152</v>
      </c>
      <c r="H4" s="54">
        <f aca="true" t="shared" si="1" ref="H4:H9">I4+J4</f>
        <v>30452</v>
      </c>
      <c r="I4" s="55">
        <v>30452</v>
      </c>
      <c r="J4" s="56"/>
      <c r="K4" s="128">
        <f>H4/C4</f>
        <v>0.9159322645652239</v>
      </c>
      <c r="L4" s="39">
        <f aca="true" t="shared" si="2" ref="L4:L9">M4+N4</f>
        <v>500</v>
      </c>
      <c r="M4" s="13">
        <v>500</v>
      </c>
      <c r="N4" s="74"/>
    </row>
    <row r="5" spans="1:14" ht="11.25">
      <c r="A5" s="16" t="s">
        <v>39</v>
      </c>
      <c r="B5" s="47" t="s">
        <v>14</v>
      </c>
      <c r="C5" s="39">
        <f t="shared" si="0"/>
        <v>984</v>
      </c>
      <c r="D5" s="13">
        <v>984</v>
      </c>
      <c r="E5" s="74"/>
      <c r="F5" s="88">
        <f>720*1.04</f>
        <v>748.8000000000001</v>
      </c>
      <c r="G5" s="93">
        <f>749*1.04</f>
        <v>778.96</v>
      </c>
      <c r="H5" s="54">
        <f t="shared" si="1"/>
        <v>981</v>
      </c>
      <c r="I5" s="55">
        <v>981</v>
      </c>
      <c r="J5" s="56"/>
      <c r="K5" s="128">
        <f aca="true" t="shared" si="3" ref="K5:K22">H5/C5</f>
        <v>0.9969512195121951</v>
      </c>
      <c r="L5" s="39">
        <f t="shared" si="2"/>
        <v>0</v>
      </c>
      <c r="M5" s="13"/>
      <c r="N5" s="74"/>
    </row>
    <row r="6" spans="1:14" ht="11.25">
      <c r="A6" s="16" t="s">
        <v>39</v>
      </c>
      <c r="B6" s="47" t="s">
        <v>34</v>
      </c>
      <c r="C6" s="39">
        <f t="shared" si="0"/>
        <v>342</v>
      </c>
      <c r="D6" s="13"/>
      <c r="E6" s="74">
        <v>342</v>
      </c>
      <c r="F6" s="88">
        <v>500</v>
      </c>
      <c r="G6" s="93">
        <v>500</v>
      </c>
      <c r="H6" s="54">
        <f t="shared" si="1"/>
        <v>342</v>
      </c>
      <c r="I6" s="55"/>
      <c r="J6" s="56">
        <v>342</v>
      </c>
      <c r="K6" s="128">
        <f t="shared" si="3"/>
        <v>1</v>
      </c>
      <c r="L6" s="39">
        <f t="shared" si="2"/>
        <v>0</v>
      </c>
      <c r="M6" s="13"/>
      <c r="N6" s="74"/>
    </row>
    <row r="7" spans="1:14" ht="11.25">
      <c r="A7" s="16" t="s">
        <v>39</v>
      </c>
      <c r="B7" s="47" t="s">
        <v>29</v>
      </c>
      <c r="C7" s="39">
        <f t="shared" si="0"/>
        <v>256</v>
      </c>
      <c r="D7" s="13"/>
      <c r="E7" s="74">
        <v>256</v>
      </c>
      <c r="F7" s="88">
        <v>150</v>
      </c>
      <c r="G7" s="93">
        <v>150</v>
      </c>
      <c r="H7" s="54">
        <f t="shared" si="1"/>
        <v>256</v>
      </c>
      <c r="I7" s="55"/>
      <c r="J7" s="56">
        <v>256</v>
      </c>
      <c r="K7" s="128">
        <f t="shared" si="3"/>
        <v>1</v>
      </c>
      <c r="L7" s="39">
        <f t="shared" si="2"/>
        <v>0</v>
      </c>
      <c r="M7" s="13"/>
      <c r="N7" s="74"/>
    </row>
    <row r="8" spans="1:14" ht="11.25">
      <c r="A8" s="16" t="s">
        <v>39</v>
      </c>
      <c r="B8" s="47" t="s">
        <v>35</v>
      </c>
      <c r="C8" s="39">
        <f t="shared" si="0"/>
        <v>33</v>
      </c>
      <c r="D8" s="13"/>
      <c r="E8" s="74">
        <v>33</v>
      </c>
      <c r="F8" s="88">
        <v>200</v>
      </c>
      <c r="G8" s="93">
        <v>200</v>
      </c>
      <c r="H8" s="54">
        <f t="shared" si="1"/>
        <v>33</v>
      </c>
      <c r="I8" s="55"/>
      <c r="J8" s="56">
        <v>33</v>
      </c>
      <c r="K8" s="128">
        <f t="shared" si="3"/>
        <v>1</v>
      </c>
      <c r="L8" s="39">
        <f t="shared" si="2"/>
        <v>0</v>
      </c>
      <c r="M8" s="13"/>
      <c r="N8" s="74"/>
    </row>
    <row r="9" spans="1:14" ht="11.25">
      <c r="A9" s="16" t="s">
        <v>39</v>
      </c>
      <c r="B9" s="47" t="s">
        <v>205</v>
      </c>
      <c r="C9" s="39">
        <f t="shared" si="0"/>
        <v>269</v>
      </c>
      <c r="D9" s="13"/>
      <c r="E9" s="74">
        <v>269</v>
      </c>
      <c r="F9" s="88">
        <v>50</v>
      </c>
      <c r="G9" s="93">
        <v>50</v>
      </c>
      <c r="H9" s="54">
        <f t="shared" si="1"/>
        <v>269</v>
      </c>
      <c r="I9" s="55"/>
      <c r="J9" s="56">
        <v>269</v>
      </c>
      <c r="K9" s="128">
        <v>0</v>
      </c>
      <c r="L9" s="39">
        <f t="shared" si="2"/>
        <v>0</v>
      </c>
      <c r="M9" s="13"/>
      <c r="N9" s="74"/>
    </row>
    <row r="10" spans="1:14" s="8" customFormat="1" ht="11.25">
      <c r="A10" s="17" t="s">
        <v>39</v>
      </c>
      <c r="B10" s="48" t="s">
        <v>40</v>
      </c>
      <c r="C10" s="40">
        <f>SUM(C4:C9)</f>
        <v>35131</v>
      </c>
      <c r="D10" s="7">
        <f>SUM(D4:D9)</f>
        <v>34231</v>
      </c>
      <c r="E10" s="73">
        <f>SUM(E4:E9)</f>
        <v>900</v>
      </c>
      <c r="F10" s="57">
        <f aca="true" t="shared" si="4" ref="F10:N10">SUM(F4:F9)</f>
        <v>35448.8</v>
      </c>
      <c r="G10" s="94">
        <f t="shared" si="4"/>
        <v>36830.96</v>
      </c>
      <c r="H10" s="51">
        <f t="shared" si="4"/>
        <v>32333</v>
      </c>
      <c r="I10" s="52">
        <f t="shared" si="4"/>
        <v>31433</v>
      </c>
      <c r="J10" s="53">
        <f t="shared" si="4"/>
        <v>900</v>
      </c>
      <c r="K10" s="128">
        <f t="shared" si="3"/>
        <v>0.9203552418092283</v>
      </c>
      <c r="L10" s="40">
        <f t="shared" si="4"/>
        <v>500</v>
      </c>
      <c r="M10" s="12">
        <f t="shared" si="4"/>
        <v>500</v>
      </c>
      <c r="N10" s="75">
        <f t="shared" si="4"/>
        <v>0</v>
      </c>
    </row>
    <row r="11" spans="1:14" s="19" customFormat="1" ht="11.25">
      <c r="A11" s="17" t="s">
        <v>41</v>
      </c>
      <c r="B11" s="48" t="s">
        <v>15</v>
      </c>
      <c r="C11" s="40">
        <f aca="true" t="shared" si="5" ref="C11:C19">D11+E11</f>
        <v>326</v>
      </c>
      <c r="D11" s="7">
        <v>326</v>
      </c>
      <c r="E11" s="73"/>
      <c r="F11" s="57">
        <v>300</v>
      </c>
      <c r="G11" s="94">
        <v>300</v>
      </c>
      <c r="H11" s="51">
        <f aca="true" t="shared" si="6" ref="H11:H19">I11+J11</f>
        <v>326</v>
      </c>
      <c r="I11" s="52">
        <v>326</v>
      </c>
      <c r="J11" s="53"/>
      <c r="K11" s="128">
        <f t="shared" si="3"/>
        <v>1</v>
      </c>
      <c r="L11" s="40">
        <f aca="true" t="shared" si="7" ref="L11:L19">M11+N11</f>
        <v>0</v>
      </c>
      <c r="M11" s="7"/>
      <c r="N11" s="73"/>
    </row>
    <row r="12" spans="1:14" s="19" customFormat="1" ht="11.25">
      <c r="A12" s="17" t="s">
        <v>42</v>
      </c>
      <c r="B12" s="48" t="s">
        <v>43</v>
      </c>
      <c r="C12" s="40">
        <f t="shared" si="5"/>
        <v>304</v>
      </c>
      <c r="D12" s="7">
        <v>304</v>
      </c>
      <c r="E12" s="73"/>
      <c r="F12" s="57">
        <v>480</v>
      </c>
      <c r="G12" s="94">
        <v>480</v>
      </c>
      <c r="H12" s="51">
        <f t="shared" si="6"/>
        <v>303</v>
      </c>
      <c r="I12" s="52">
        <v>303</v>
      </c>
      <c r="J12" s="53"/>
      <c r="K12" s="128">
        <f t="shared" si="3"/>
        <v>0.9967105263157895</v>
      </c>
      <c r="L12" s="40">
        <f t="shared" si="7"/>
        <v>0</v>
      </c>
      <c r="M12" s="7"/>
      <c r="N12" s="73"/>
    </row>
    <row r="13" spans="1:14" s="8" customFormat="1" ht="11.25">
      <c r="A13" s="17" t="s">
        <v>44</v>
      </c>
      <c r="B13" s="48" t="s">
        <v>16</v>
      </c>
      <c r="C13" s="40">
        <f t="shared" si="5"/>
        <v>3827</v>
      </c>
      <c r="D13" s="7">
        <v>3827</v>
      </c>
      <c r="E13" s="73"/>
      <c r="F13" s="57">
        <v>3500</v>
      </c>
      <c r="G13" s="94">
        <v>3500</v>
      </c>
      <c r="H13" s="51">
        <f t="shared" si="6"/>
        <v>3769</v>
      </c>
      <c r="I13" s="52">
        <v>3769</v>
      </c>
      <c r="J13" s="53"/>
      <c r="K13" s="128">
        <f t="shared" si="3"/>
        <v>0.9848445257381762</v>
      </c>
      <c r="L13" s="40">
        <f t="shared" si="7"/>
        <v>0</v>
      </c>
      <c r="M13" s="7"/>
      <c r="N13" s="73"/>
    </row>
    <row r="14" spans="1:14" s="8" customFormat="1" ht="11.25">
      <c r="A14" s="17" t="s">
        <v>45</v>
      </c>
      <c r="B14" s="48" t="s">
        <v>17</v>
      </c>
      <c r="C14" s="40">
        <f t="shared" si="5"/>
        <v>10</v>
      </c>
      <c r="D14" s="7">
        <v>10</v>
      </c>
      <c r="E14" s="73"/>
      <c r="F14" s="57">
        <v>10</v>
      </c>
      <c r="G14" s="94">
        <v>10</v>
      </c>
      <c r="H14" s="51">
        <f t="shared" si="6"/>
        <v>1</v>
      </c>
      <c r="I14" s="52">
        <v>1</v>
      </c>
      <c r="J14" s="53"/>
      <c r="K14" s="128">
        <f t="shared" si="3"/>
        <v>0.1</v>
      </c>
      <c r="L14" s="40">
        <f t="shared" si="7"/>
        <v>0</v>
      </c>
      <c r="M14" s="7"/>
      <c r="N14" s="73"/>
    </row>
    <row r="15" spans="1:14" s="8" customFormat="1" ht="11.25">
      <c r="A15" s="17" t="s">
        <v>46</v>
      </c>
      <c r="B15" s="48" t="s">
        <v>18</v>
      </c>
      <c r="C15" s="40">
        <f t="shared" si="5"/>
        <v>8899</v>
      </c>
      <c r="D15" s="7">
        <v>8899</v>
      </c>
      <c r="E15" s="73"/>
      <c r="F15" s="57">
        <f>8900*1.04</f>
        <v>9256</v>
      </c>
      <c r="G15" s="94">
        <f>9256*1.04</f>
        <v>9626.24</v>
      </c>
      <c r="H15" s="51">
        <f t="shared" si="6"/>
        <v>8740</v>
      </c>
      <c r="I15" s="52">
        <v>8740</v>
      </c>
      <c r="J15" s="53"/>
      <c r="K15" s="128">
        <f t="shared" si="3"/>
        <v>0.9821328239127992</v>
      </c>
      <c r="L15" s="40">
        <f t="shared" si="7"/>
        <v>0</v>
      </c>
      <c r="M15" s="7"/>
      <c r="N15" s="73"/>
    </row>
    <row r="16" spans="1:14" s="8" customFormat="1" ht="11.25">
      <c r="A16" s="17" t="s">
        <v>47</v>
      </c>
      <c r="B16" s="48" t="s">
        <v>19</v>
      </c>
      <c r="C16" s="40">
        <f t="shared" si="5"/>
        <v>651</v>
      </c>
      <c r="D16" s="7">
        <v>601</v>
      </c>
      <c r="E16" s="73">
        <v>50</v>
      </c>
      <c r="F16" s="57">
        <f>600*1.04</f>
        <v>624</v>
      </c>
      <c r="G16" s="94">
        <f>624*1.04</f>
        <v>648.96</v>
      </c>
      <c r="H16" s="51">
        <f t="shared" si="6"/>
        <v>628</v>
      </c>
      <c r="I16" s="52">
        <v>578</v>
      </c>
      <c r="J16" s="53">
        <v>50</v>
      </c>
      <c r="K16" s="128">
        <f t="shared" si="3"/>
        <v>0.9646697388632872</v>
      </c>
      <c r="L16" s="40">
        <f t="shared" si="7"/>
        <v>0</v>
      </c>
      <c r="M16" s="7"/>
      <c r="N16" s="73"/>
    </row>
    <row r="17" spans="1:14" ht="11.25">
      <c r="A17" s="16" t="s">
        <v>48</v>
      </c>
      <c r="B17" s="47" t="s">
        <v>183</v>
      </c>
      <c r="C17" s="39">
        <f t="shared" si="5"/>
        <v>152</v>
      </c>
      <c r="D17" s="13">
        <v>152</v>
      </c>
      <c r="E17" s="74"/>
      <c r="F17" s="88">
        <v>500</v>
      </c>
      <c r="G17" s="93">
        <v>500</v>
      </c>
      <c r="H17" s="54">
        <f t="shared" si="6"/>
        <v>147</v>
      </c>
      <c r="I17" s="55">
        <v>147</v>
      </c>
      <c r="J17" s="56"/>
      <c r="K17" s="128">
        <f t="shared" si="3"/>
        <v>0.9671052631578947</v>
      </c>
      <c r="L17" s="39">
        <f t="shared" si="7"/>
        <v>0</v>
      </c>
      <c r="M17" s="13"/>
      <c r="N17" s="74"/>
    </row>
    <row r="18" spans="1:14" ht="11.25">
      <c r="A18" s="16" t="s">
        <v>48</v>
      </c>
      <c r="B18" s="47" t="s">
        <v>20</v>
      </c>
      <c r="C18" s="39">
        <f t="shared" si="5"/>
        <v>160</v>
      </c>
      <c r="D18" s="13">
        <v>160</v>
      </c>
      <c r="E18" s="74"/>
      <c r="F18" s="88">
        <v>400</v>
      </c>
      <c r="G18" s="93">
        <v>400</v>
      </c>
      <c r="H18" s="54">
        <f t="shared" si="6"/>
        <v>160</v>
      </c>
      <c r="I18" s="55">
        <v>160</v>
      </c>
      <c r="J18" s="56"/>
      <c r="K18" s="128">
        <f t="shared" si="3"/>
        <v>1</v>
      </c>
      <c r="L18" s="39">
        <f t="shared" si="7"/>
        <v>0</v>
      </c>
      <c r="M18" s="13"/>
      <c r="N18" s="74"/>
    </row>
    <row r="19" spans="1:14" ht="11.25">
      <c r="A19" s="16" t="s">
        <v>48</v>
      </c>
      <c r="B19" s="47" t="s">
        <v>30</v>
      </c>
      <c r="C19" s="39">
        <f t="shared" si="5"/>
        <v>600</v>
      </c>
      <c r="D19" s="13"/>
      <c r="E19" s="74">
        <v>600</v>
      </c>
      <c r="F19" s="88">
        <v>600</v>
      </c>
      <c r="G19" s="93">
        <v>600</v>
      </c>
      <c r="H19" s="54">
        <f t="shared" si="6"/>
        <v>14</v>
      </c>
      <c r="I19" s="55"/>
      <c r="J19" s="56">
        <v>14</v>
      </c>
      <c r="K19" s="128">
        <f t="shared" si="3"/>
        <v>0.023333333333333334</v>
      </c>
      <c r="L19" s="39">
        <f t="shared" si="7"/>
        <v>0</v>
      </c>
      <c r="M19" s="13"/>
      <c r="N19" s="74"/>
    </row>
    <row r="20" spans="1:14" s="8" customFormat="1" ht="11.25">
      <c r="A20" s="17" t="s">
        <v>48</v>
      </c>
      <c r="B20" s="48" t="s">
        <v>21</v>
      </c>
      <c r="C20" s="40">
        <f>SUM(C17:C19)</f>
        <v>912</v>
      </c>
      <c r="D20" s="7">
        <f>SUM(D17:D19)</f>
        <v>312</v>
      </c>
      <c r="E20" s="73">
        <f>SUM(E17:E19)</f>
        <v>600</v>
      </c>
      <c r="F20" s="57">
        <f aca="true" t="shared" si="8" ref="F20:N20">SUM(F17:F19)</f>
        <v>1500</v>
      </c>
      <c r="G20" s="94">
        <f t="shared" si="8"/>
        <v>1500</v>
      </c>
      <c r="H20" s="51">
        <f t="shared" si="8"/>
        <v>321</v>
      </c>
      <c r="I20" s="52">
        <f t="shared" si="8"/>
        <v>307</v>
      </c>
      <c r="J20" s="53">
        <f t="shared" si="8"/>
        <v>14</v>
      </c>
      <c r="K20" s="128">
        <f t="shared" si="3"/>
        <v>0.3519736842105263</v>
      </c>
      <c r="L20" s="40">
        <f t="shared" si="8"/>
        <v>0</v>
      </c>
      <c r="M20" s="12">
        <f t="shared" si="8"/>
        <v>0</v>
      </c>
      <c r="N20" s="75">
        <f t="shared" si="8"/>
        <v>0</v>
      </c>
    </row>
    <row r="21" spans="1:14" ht="11.25">
      <c r="A21" s="16" t="s">
        <v>49</v>
      </c>
      <c r="B21" s="47" t="s">
        <v>50</v>
      </c>
      <c r="C21" s="39">
        <f>D21+E21</f>
        <v>104</v>
      </c>
      <c r="D21" s="13">
        <v>104</v>
      </c>
      <c r="E21" s="74"/>
      <c r="F21" s="88">
        <v>205</v>
      </c>
      <c r="G21" s="93">
        <v>205</v>
      </c>
      <c r="H21" s="54">
        <f>I21+J21</f>
        <v>105</v>
      </c>
      <c r="I21" s="55">
        <v>105</v>
      </c>
      <c r="J21" s="56"/>
      <c r="K21" s="128">
        <f t="shared" si="3"/>
        <v>1.0096153846153846</v>
      </c>
      <c r="L21" s="39">
        <f>M21+N21</f>
        <v>0</v>
      </c>
      <c r="M21" s="13"/>
      <c r="N21" s="74"/>
    </row>
    <row r="22" spans="1:14" s="10" customFormat="1" ht="11.25">
      <c r="A22" s="16" t="s">
        <v>49</v>
      </c>
      <c r="B22" s="47" t="s">
        <v>60</v>
      </c>
      <c r="C22" s="39">
        <f>D22+E22</f>
        <v>10989</v>
      </c>
      <c r="D22" s="13">
        <f>6233+4500+256</f>
        <v>10989</v>
      </c>
      <c r="E22" s="74"/>
      <c r="F22" s="88">
        <v>1000</v>
      </c>
      <c r="G22" s="93">
        <v>2550</v>
      </c>
      <c r="H22" s="54">
        <f>I22+J22</f>
        <v>10989</v>
      </c>
      <c r="I22" s="55">
        <f>6233+4500+256</f>
        <v>10989</v>
      </c>
      <c r="J22" s="56"/>
      <c r="K22" s="128">
        <f t="shared" si="3"/>
        <v>1</v>
      </c>
      <c r="L22" s="39">
        <f>M22+N22</f>
        <v>500</v>
      </c>
      <c r="M22" s="13">
        <f>150+200+150</f>
        <v>500</v>
      </c>
      <c r="N22" s="74"/>
    </row>
    <row r="23" spans="1:14" s="10" customFormat="1" ht="45.75" customHeight="1">
      <c r="A23" s="68" t="s">
        <v>176</v>
      </c>
      <c r="B23" s="67" t="s">
        <v>211</v>
      </c>
      <c r="C23" s="39"/>
      <c r="D23" s="13"/>
      <c r="E23" s="74"/>
      <c r="F23" s="88"/>
      <c r="G23" s="93"/>
      <c r="H23" s="54"/>
      <c r="I23" s="55"/>
      <c r="J23" s="56"/>
      <c r="K23" s="128"/>
      <c r="L23" s="121" t="s">
        <v>199</v>
      </c>
      <c r="M23" s="122"/>
      <c r="N23" s="123"/>
    </row>
    <row r="24" spans="1:14" s="10" customFormat="1" ht="11.25">
      <c r="A24" s="16" t="s">
        <v>49</v>
      </c>
      <c r="B24" s="47" t="s">
        <v>51</v>
      </c>
      <c r="C24" s="39">
        <f aca="true" t="shared" si="9" ref="C24:C35">D24+E24</f>
        <v>3871</v>
      </c>
      <c r="D24" s="13">
        <v>3871</v>
      </c>
      <c r="E24" s="74"/>
      <c r="F24" s="88">
        <v>2200</v>
      </c>
      <c r="G24" s="93">
        <v>2300</v>
      </c>
      <c r="H24" s="54">
        <f aca="true" t="shared" si="10" ref="H24:H35">I24+J24</f>
        <v>3695</v>
      </c>
      <c r="I24" s="55">
        <v>3695</v>
      </c>
      <c r="J24" s="56"/>
      <c r="K24" s="128">
        <f>H24/C24</f>
        <v>0.9545337122190648</v>
      </c>
      <c r="L24" s="39">
        <f aca="true" t="shared" si="11" ref="L24:L35">M24+N24</f>
        <v>500</v>
      </c>
      <c r="M24" s="13">
        <v>500</v>
      </c>
      <c r="N24" s="74"/>
    </row>
    <row r="25" spans="1:14" s="10" customFormat="1" ht="11.25">
      <c r="A25" s="16" t="s">
        <v>49</v>
      </c>
      <c r="B25" s="47" t="s">
        <v>52</v>
      </c>
      <c r="C25" s="39">
        <f t="shared" si="9"/>
        <v>136</v>
      </c>
      <c r="D25" s="13">
        <v>136</v>
      </c>
      <c r="E25" s="74"/>
      <c r="F25" s="88">
        <v>180</v>
      </c>
      <c r="G25" s="93">
        <v>180</v>
      </c>
      <c r="H25" s="54">
        <f t="shared" si="10"/>
        <v>131</v>
      </c>
      <c r="I25" s="55">
        <v>131</v>
      </c>
      <c r="J25" s="56"/>
      <c r="K25" s="128">
        <f>H25/C25</f>
        <v>0.9632352941176471</v>
      </c>
      <c r="L25" s="39">
        <f t="shared" si="11"/>
        <v>0</v>
      </c>
      <c r="M25" s="13"/>
      <c r="N25" s="74"/>
    </row>
    <row r="26" spans="1:14" ht="11.25">
      <c r="A26" s="16" t="s">
        <v>49</v>
      </c>
      <c r="B26" s="47" t="s">
        <v>53</v>
      </c>
      <c r="C26" s="39">
        <f t="shared" si="9"/>
        <v>897</v>
      </c>
      <c r="D26" s="13">
        <f>831+6</f>
        <v>837</v>
      </c>
      <c r="E26" s="74">
        <v>60</v>
      </c>
      <c r="F26" s="88">
        <v>570</v>
      </c>
      <c r="G26" s="93">
        <v>570</v>
      </c>
      <c r="H26" s="54">
        <f t="shared" si="10"/>
        <v>894</v>
      </c>
      <c r="I26" s="55">
        <f>831+6</f>
        <v>837</v>
      </c>
      <c r="J26" s="56">
        <v>57</v>
      </c>
      <c r="K26" s="128">
        <f>H26/C26</f>
        <v>0.9966555183946488</v>
      </c>
      <c r="L26" s="39">
        <f t="shared" si="11"/>
        <v>260</v>
      </c>
      <c r="M26" s="13">
        <f>260</f>
        <v>260</v>
      </c>
      <c r="N26" s="74"/>
    </row>
    <row r="27" spans="1:14" ht="11.25">
      <c r="A27" s="16" t="s">
        <v>49</v>
      </c>
      <c r="B27" s="47" t="s">
        <v>54</v>
      </c>
      <c r="C27" s="39">
        <f t="shared" si="9"/>
        <v>1444</v>
      </c>
      <c r="D27" s="13">
        <v>1444</v>
      </c>
      <c r="E27" s="74"/>
      <c r="F27" s="88">
        <v>4500</v>
      </c>
      <c r="G27" s="93">
        <v>4500</v>
      </c>
      <c r="H27" s="54">
        <f t="shared" si="10"/>
        <v>1059</v>
      </c>
      <c r="I27" s="55">
        <v>1059</v>
      </c>
      <c r="J27" s="56"/>
      <c r="K27" s="128">
        <f>H27/C27</f>
        <v>0.7333795013850416</v>
      </c>
      <c r="L27" s="39">
        <f t="shared" si="11"/>
        <v>0</v>
      </c>
      <c r="M27" s="13"/>
      <c r="N27" s="74"/>
    </row>
    <row r="28" spans="1:14" ht="11.25">
      <c r="A28" s="16" t="s">
        <v>49</v>
      </c>
      <c r="B28" s="47" t="s">
        <v>55</v>
      </c>
      <c r="C28" s="39">
        <f t="shared" si="9"/>
        <v>7984</v>
      </c>
      <c r="D28" s="13">
        <v>7984</v>
      </c>
      <c r="E28" s="74"/>
      <c r="F28" s="88">
        <v>5000</v>
      </c>
      <c r="G28" s="93">
        <v>5000</v>
      </c>
      <c r="H28" s="54">
        <f t="shared" si="10"/>
        <v>7983</v>
      </c>
      <c r="I28" s="55">
        <v>7983</v>
      </c>
      <c r="J28" s="56"/>
      <c r="K28" s="128">
        <f>H28/C28</f>
        <v>0.999874749498998</v>
      </c>
      <c r="L28" s="39">
        <f t="shared" si="11"/>
        <v>1594</v>
      </c>
      <c r="M28" s="13">
        <v>1594</v>
      </c>
      <c r="N28" s="74"/>
    </row>
    <row r="29" spans="1:14" ht="11.25">
      <c r="A29" s="16" t="s">
        <v>49</v>
      </c>
      <c r="B29" s="47" t="s">
        <v>182</v>
      </c>
      <c r="C29" s="39">
        <f t="shared" si="9"/>
        <v>2405</v>
      </c>
      <c r="D29" s="13"/>
      <c r="E29" s="74">
        <v>2405</v>
      </c>
      <c r="F29" s="88">
        <f>G29+H29</f>
        <v>4446</v>
      </c>
      <c r="G29" s="93">
        <f>H29+J29</f>
        <v>2964</v>
      </c>
      <c r="H29" s="54">
        <f t="shared" si="10"/>
        <v>1482</v>
      </c>
      <c r="I29" s="103"/>
      <c r="J29" s="56">
        <v>1482</v>
      </c>
      <c r="K29" s="128">
        <f aca="true" t="shared" si="12" ref="K29:K37">H29/C29</f>
        <v>0.6162162162162163</v>
      </c>
      <c r="L29" s="39">
        <f t="shared" si="11"/>
        <v>0</v>
      </c>
      <c r="M29" s="13"/>
      <c r="N29" s="74"/>
    </row>
    <row r="30" spans="1:14" ht="11.25">
      <c r="A30" s="16" t="s">
        <v>49</v>
      </c>
      <c r="B30" s="47" t="s">
        <v>204</v>
      </c>
      <c r="C30" s="39">
        <f t="shared" si="9"/>
        <v>95</v>
      </c>
      <c r="D30" s="13"/>
      <c r="E30" s="74">
        <v>95</v>
      </c>
      <c r="F30" s="88"/>
      <c r="G30" s="93"/>
      <c r="H30" s="54">
        <f t="shared" si="10"/>
        <v>95</v>
      </c>
      <c r="I30" s="103"/>
      <c r="J30" s="56">
        <v>95</v>
      </c>
      <c r="K30" s="128">
        <f t="shared" si="12"/>
        <v>1</v>
      </c>
      <c r="L30" s="39"/>
      <c r="M30" s="13"/>
      <c r="N30" s="74"/>
    </row>
    <row r="31" spans="1:14" ht="11.25">
      <c r="A31" s="16" t="s">
        <v>49</v>
      </c>
      <c r="B31" s="47" t="s">
        <v>178</v>
      </c>
      <c r="C31" s="39">
        <f t="shared" si="9"/>
        <v>1200</v>
      </c>
      <c r="D31" s="13"/>
      <c r="E31" s="74">
        <v>1200</v>
      </c>
      <c r="F31" s="88">
        <f>G31+H31</f>
        <v>3600</v>
      </c>
      <c r="G31" s="93">
        <f>H31+J31</f>
        <v>2400</v>
      </c>
      <c r="H31" s="54">
        <f t="shared" si="10"/>
        <v>1200</v>
      </c>
      <c r="I31" s="103"/>
      <c r="J31" s="56">
        <v>1200</v>
      </c>
      <c r="K31" s="128">
        <f t="shared" si="12"/>
        <v>1</v>
      </c>
      <c r="L31" s="39">
        <f t="shared" si="11"/>
        <v>0</v>
      </c>
      <c r="M31" s="13"/>
      <c r="N31" s="74"/>
    </row>
    <row r="32" spans="1:14" ht="11.25">
      <c r="A32" s="16" t="s">
        <v>49</v>
      </c>
      <c r="B32" s="47" t="s">
        <v>184</v>
      </c>
      <c r="C32" s="39">
        <f t="shared" si="9"/>
        <v>5250</v>
      </c>
      <c r="D32" s="13"/>
      <c r="E32" s="74">
        <v>5250</v>
      </c>
      <c r="F32" s="88">
        <f>G32+H32</f>
        <v>15372</v>
      </c>
      <c r="G32" s="93">
        <f>H32+J32</f>
        <v>10248</v>
      </c>
      <c r="H32" s="54">
        <f t="shared" si="10"/>
        <v>5124</v>
      </c>
      <c r="I32" s="103"/>
      <c r="J32" s="56">
        <v>5124</v>
      </c>
      <c r="K32" s="128">
        <f t="shared" si="12"/>
        <v>0.976</v>
      </c>
      <c r="L32" s="39">
        <f t="shared" si="11"/>
        <v>0</v>
      </c>
      <c r="M32" s="13"/>
      <c r="N32" s="74"/>
    </row>
    <row r="33" spans="1:14" s="10" customFormat="1" ht="11.25">
      <c r="A33" s="16" t="s">
        <v>49</v>
      </c>
      <c r="B33" s="47" t="s">
        <v>180</v>
      </c>
      <c r="C33" s="39">
        <f t="shared" si="9"/>
        <v>1760</v>
      </c>
      <c r="D33" s="13"/>
      <c r="E33" s="74">
        <v>1760</v>
      </c>
      <c r="F33" s="88">
        <f>G33+H33</f>
        <v>4440</v>
      </c>
      <c r="G33" s="93">
        <f>H33+J33</f>
        <v>2960</v>
      </c>
      <c r="H33" s="54">
        <f t="shared" si="10"/>
        <v>1480</v>
      </c>
      <c r="I33" s="104"/>
      <c r="J33" s="56">
        <v>1480</v>
      </c>
      <c r="K33" s="128">
        <f t="shared" si="12"/>
        <v>0.8409090909090909</v>
      </c>
      <c r="L33" s="39">
        <f t="shared" si="11"/>
        <v>0</v>
      </c>
      <c r="M33" s="13"/>
      <c r="N33" s="74"/>
    </row>
    <row r="34" spans="1:14" s="10" customFormat="1" ht="11.25">
      <c r="A34" s="16" t="s">
        <v>49</v>
      </c>
      <c r="B34" s="47" t="s">
        <v>181</v>
      </c>
      <c r="C34" s="39">
        <f t="shared" si="9"/>
        <v>500</v>
      </c>
      <c r="D34" s="13"/>
      <c r="E34" s="74">
        <v>500</v>
      </c>
      <c r="F34" s="88">
        <f>G34+H34</f>
        <v>1500</v>
      </c>
      <c r="G34" s="93">
        <f>H34+J34</f>
        <v>1000</v>
      </c>
      <c r="H34" s="54">
        <f t="shared" si="10"/>
        <v>500</v>
      </c>
      <c r="I34" s="104"/>
      <c r="J34" s="56">
        <v>500</v>
      </c>
      <c r="K34" s="128">
        <f t="shared" si="12"/>
        <v>1</v>
      </c>
      <c r="L34" s="39">
        <f t="shared" si="11"/>
        <v>0</v>
      </c>
      <c r="M34" s="13"/>
      <c r="N34" s="74"/>
    </row>
    <row r="35" spans="1:14" s="10" customFormat="1" ht="11.25">
      <c r="A35" s="16" t="s">
        <v>49</v>
      </c>
      <c r="B35" s="47" t="s">
        <v>171</v>
      </c>
      <c r="C35" s="39">
        <f t="shared" si="9"/>
        <v>3200</v>
      </c>
      <c r="D35" s="13"/>
      <c r="E35" s="74">
        <v>3200</v>
      </c>
      <c r="F35" s="88">
        <f>G35+H35</f>
        <v>9006</v>
      </c>
      <c r="G35" s="93">
        <f>H35+J35</f>
        <v>6004</v>
      </c>
      <c r="H35" s="54">
        <f t="shared" si="10"/>
        <v>3002</v>
      </c>
      <c r="I35" s="104"/>
      <c r="J35" s="56">
        <v>3002</v>
      </c>
      <c r="K35" s="128">
        <f t="shared" si="12"/>
        <v>0.938125</v>
      </c>
      <c r="L35" s="39">
        <f t="shared" si="11"/>
        <v>0</v>
      </c>
      <c r="M35" s="13"/>
      <c r="N35" s="74"/>
    </row>
    <row r="36" spans="1:14" s="19" customFormat="1" ht="11.25">
      <c r="A36" s="17" t="s">
        <v>49</v>
      </c>
      <c r="B36" s="48" t="s">
        <v>56</v>
      </c>
      <c r="C36" s="40">
        <f>SUM(C21:C35)</f>
        <v>39835</v>
      </c>
      <c r="D36" s="7">
        <f>SUM(D21:D33)</f>
        <v>25365</v>
      </c>
      <c r="E36" s="73">
        <f aca="true" t="shared" si="13" ref="E36:J36">SUM(E21:E35)</f>
        <v>14470</v>
      </c>
      <c r="F36" s="57">
        <f t="shared" si="13"/>
        <v>52019</v>
      </c>
      <c r="G36" s="94">
        <f t="shared" si="13"/>
        <v>40881</v>
      </c>
      <c r="H36" s="51">
        <f t="shared" si="13"/>
        <v>37739</v>
      </c>
      <c r="I36" s="52">
        <f t="shared" si="13"/>
        <v>24799</v>
      </c>
      <c r="J36" s="53">
        <f t="shared" si="13"/>
        <v>12940</v>
      </c>
      <c r="K36" s="128">
        <f t="shared" si="12"/>
        <v>0.9473829546880884</v>
      </c>
      <c r="L36" s="40">
        <f>SUM(L21:L35)</f>
        <v>2854</v>
      </c>
      <c r="M36" s="7">
        <f>SUM(M21:M33)</f>
        <v>2854</v>
      </c>
      <c r="N36" s="73">
        <f>SUM(N21:N35)</f>
        <v>0</v>
      </c>
    </row>
    <row r="37" spans="1:14" s="19" customFormat="1" ht="11.25">
      <c r="A37" s="17" t="s">
        <v>57</v>
      </c>
      <c r="B37" s="48" t="s">
        <v>22</v>
      </c>
      <c r="C37" s="40">
        <f aca="true" t="shared" si="14" ref="C37:C45">D37+E37</f>
        <v>739</v>
      </c>
      <c r="D37" s="7">
        <v>739</v>
      </c>
      <c r="E37" s="73"/>
      <c r="F37" s="57">
        <f>730*1.04</f>
        <v>759.2</v>
      </c>
      <c r="G37" s="94">
        <f>759*1.04</f>
        <v>789.36</v>
      </c>
      <c r="H37" s="51">
        <f aca="true" t="shared" si="15" ref="H37:H45">I37+J37</f>
        <v>733</v>
      </c>
      <c r="I37" s="52">
        <v>733</v>
      </c>
      <c r="J37" s="53"/>
      <c r="K37" s="128">
        <f t="shared" si="12"/>
        <v>0.9918809201623816</v>
      </c>
      <c r="L37" s="40">
        <f aca="true" t="shared" si="16" ref="L37:L45">M37+N37</f>
        <v>35</v>
      </c>
      <c r="M37" s="7">
        <v>35</v>
      </c>
      <c r="N37" s="73"/>
    </row>
    <row r="38" spans="1:14" s="19" customFormat="1" ht="13.5" customHeight="1" hidden="1">
      <c r="A38" s="17"/>
      <c r="B38" s="48"/>
      <c r="C38" s="40"/>
      <c r="D38" s="7"/>
      <c r="E38" s="73"/>
      <c r="F38" s="57"/>
      <c r="G38" s="94"/>
      <c r="H38" s="51"/>
      <c r="I38" s="52"/>
      <c r="J38" s="53"/>
      <c r="K38" s="128"/>
      <c r="L38" s="121" t="s">
        <v>200</v>
      </c>
      <c r="M38" s="122"/>
      <c r="N38" s="123"/>
    </row>
    <row r="39" spans="1:14" ht="11.25">
      <c r="A39" s="16" t="s">
        <v>58</v>
      </c>
      <c r="B39" s="47" t="s">
        <v>59</v>
      </c>
      <c r="C39" s="39">
        <f t="shared" si="14"/>
        <v>400</v>
      </c>
      <c r="D39" s="13">
        <v>302</v>
      </c>
      <c r="E39" s="74">
        <v>98</v>
      </c>
      <c r="F39" s="88">
        <v>400</v>
      </c>
      <c r="G39" s="93">
        <v>400</v>
      </c>
      <c r="H39" s="54">
        <f t="shared" si="15"/>
        <v>400</v>
      </c>
      <c r="I39" s="55">
        <v>302</v>
      </c>
      <c r="J39" s="56">
        <v>98</v>
      </c>
      <c r="K39" s="128">
        <f aca="true" t="shared" si="17" ref="K39:K63">H39/C39</f>
        <v>1</v>
      </c>
      <c r="L39" s="39">
        <f t="shared" si="16"/>
        <v>0</v>
      </c>
      <c r="M39" s="13"/>
      <c r="N39" s="74"/>
    </row>
    <row r="40" spans="1:14" s="10" customFormat="1" ht="11.25">
      <c r="A40" s="16" t="s">
        <v>58</v>
      </c>
      <c r="B40" s="47" t="s">
        <v>177</v>
      </c>
      <c r="C40" s="39">
        <f t="shared" si="14"/>
        <v>5398</v>
      </c>
      <c r="D40" s="13">
        <v>5398</v>
      </c>
      <c r="E40" s="74"/>
      <c r="F40" s="88">
        <v>5000</v>
      </c>
      <c r="G40" s="93">
        <v>5000</v>
      </c>
      <c r="H40" s="54">
        <f t="shared" si="15"/>
        <v>5398</v>
      </c>
      <c r="I40" s="55">
        <v>5398</v>
      </c>
      <c r="J40" s="56"/>
      <c r="K40" s="128">
        <f t="shared" si="17"/>
        <v>1</v>
      </c>
      <c r="L40" s="39">
        <f t="shared" si="16"/>
        <v>0</v>
      </c>
      <c r="M40" s="13"/>
      <c r="N40" s="74"/>
    </row>
    <row r="41" spans="1:14" ht="11.25">
      <c r="A41" s="16" t="s">
        <v>58</v>
      </c>
      <c r="B41" s="47" t="s">
        <v>195</v>
      </c>
      <c r="C41" s="39">
        <f t="shared" si="14"/>
        <v>5729</v>
      </c>
      <c r="D41" s="13">
        <f>3479+689+561</f>
        <v>4729</v>
      </c>
      <c r="E41" s="74">
        <v>1000</v>
      </c>
      <c r="F41" s="88">
        <v>3950</v>
      </c>
      <c r="G41" s="93">
        <v>4000</v>
      </c>
      <c r="H41" s="54">
        <f t="shared" si="15"/>
        <v>5729</v>
      </c>
      <c r="I41" s="55">
        <f>3479+689+561</f>
        <v>4729</v>
      </c>
      <c r="J41" s="56">
        <v>1000</v>
      </c>
      <c r="K41" s="128">
        <f t="shared" si="17"/>
        <v>1</v>
      </c>
      <c r="L41" s="39">
        <f t="shared" si="16"/>
        <v>0</v>
      </c>
      <c r="M41" s="13"/>
      <c r="N41" s="74"/>
    </row>
    <row r="42" spans="1:14" ht="11.25">
      <c r="A42" s="16" t="s">
        <v>58</v>
      </c>
      <c r="B42" s="47" t="s">
        <v>61</v>
      </c>
      <c r="C42" s="39">
        <f t="shared" si="14"/>
        <v>6201</v>
      </c>
      <c r="D42" s="13">
        <v>6201</v>
      </c>
      <c r="E42" s="74"/>
      <c r="F42" s="88">
        <v>6000</v>
      </c>
      <c r="G42" s="93">
        <v>6000</v>
      </c>
      <c r="H42" s="54">
        <f t="shared" si="15"/>
        <v>6201</v>
      </c>
      <c r="I42" s="55">
        <v>6201</v>
      </c>
      <c r="J42" s="56"/>
      <c r="K42" s="128">
        <f t="shared" si="17"/>
        <v>1</v>
      </c>
      <c r="L42" s="39">
        <f t="shared" si="16"/>
        <v>0</v>
      </c>
      <c r="M42" s="13"/>
      <c r="N42" s="74"/>
    </row>
    <row r="43" spans="1:14" ht="11.25">
      <c r="A43" s="16" t="s">
        <v>58</v>
      </c>
      <c r="B43" s="47" t="s">
        <v>62</v>
      </c>
      <c r="C43" s="39">
        <f t="shared" si="14"/>
        <v>15580</v>
      </c>
      <c r="D43" s="13">
        <v>15580</v>
      </c>
      <c r="E43" s="74"/>
      <c r="F43" s="88">
        <v>11850</v>
      </c>
      <c r="G43" s="93">
        <v>11900</v>
      </c>
      <c r="H43" s="54">
        <f t="shared" si="15"/>
        <v>15580</v>
      </c>
      <c r="I43" s="55">
        <v>15580</v>
      </c>
      <c r="J43" s="56"/>
      <c r="K43" s="128">
        <f t="shared" si="17"/>
        <v>1</v>
      </c>
      <c r="L43" s="39">
        <f t="shared" si="16"/>
        <v>3300</v>
      </c>
      <c r="M43" s="13">
        <v>3300</v>
      </c>
      <c r="N43" s="74"/>
    </row>
    <row r="44" spans="1:14" ht="11.25">
      <c r="A44" s="16" t="s">
        <v>58</v>
      </c>
      <c r="B44" s="47" t="s">
        <v>63</v>
      </c>
      <c r="C44" s="39">
        <f t="shared" si="14"/>
        <v>4562</v>
      </c>
      <c r="D44" s="13">
        <v>4562</v>
      </c>
      <c r="E44" s="74"/>
      <c r="F44" s="88">
        <v>8000</v>
      </c>
      <c r="G44" s="93">
        <v>8050</v>
      </c>
      <c r="H44" s="54">
        <f t="shared" si="15"/>
        <v>4562</v>
      </c>
      <c r="I44" s="55">
        <v>4562</v>
      </c>
      <c r="J44" s="56"/>
      <c r="K44" s="128">
        <f t="shared" si="17"/>
        <v>1</v>
      </c>
      <c r="L44" s="39">
        <f t="shared" si="16"/>
        <v>-3300</v>
      </c>
      <c r="M44" s="13">
        <v>-3300</v>
      </c>
      <c r="N44" s="74"/>
    </row>
    <row r="45" spans="1:14" ht="11.25">
      <c r="A45" s="16" t="s">
        <v>58</v>
      </c>
      <c r="B45" s="47" t="s">
        <v>194</v>
      </c>
      <c r="C45" s="39">
        <f t="shared" si="14"/>
        <v>500</v>
      </c>
      <c r="D45" s="13"/>
      <c r="E45" s="74">
        <v>500</v>
      </c>
      <c r="F45" s="88">
        <v>500</v>
      </c>
      <c r="G45" s="93"/>
      <c r="H45" s="54">
        <f t="shared" si="15"/>
        <v>500</v>
      </c>
      <c r="I45" s="55"/>
      <c r="J45" s="56">
        <v>500</v>
      </c>
      <c r="K45" s="128">
        <f t="shared" si="17"/>
        <v>1</v>
      </c>
      <c r="L45" s="39">
        <f t="shared" si="16"/>
        <v>0</v>
      </c>
      <c r="M45" s="13"/>
      <c r="N45" s="74"/>
    </row>
    <row r="46" spans="1:14" s="19" customFormat="1" ht="11.25">
      <c r="A46" s="17" t="s">
        <v>58</v>
      </c>
      <c r="B46" s="48" t="s">
        <v>64</v>
      </c>
      <c r="C46" s="40">
        <f>SUM(C39:C45)</f>
        <v>38370</v>
      </c>
      <c r="D46" s="7">
        <f>SUM(D39:D45)</f>
        <v>36772</v>
      </c>
      <c r="E46" s="73">
        <f>SUM(E39:E45)</f>
        <v>1598</v>
      </c>
      <c r="F46" s="57">
        <f aca="true" t="shared" si="18" ref="F46:N46">SUM(F39:F45)</f>
        <v>35700</v>
      </c>
      <c r="G46" s="94">
        <f t="shared" si="18"/>
        <v>35350</v>
      </c>
      <c r="H46" s="51">
        <f t="shared" si="18"/>
        <v>38370</v>
      </c>
      <c r="I46" s="52">
        <f t="shared" si="18"/>
        <v>36772</v>
      </c>
      <c r="J46" s="53">
        <f t="shared" si="18"/>
        <v>1598</v>
      </c>
      <c r="K46" s="128">
        <f t="shared" si="17"/>
        <v>1</v>
      </c>
      <c r="L46" s="40">
        <f t="shared" si="18"/>
        <v>0</v>
      </c>
      <c r="M46" s="12">
        <f t="shared" si="18"/>
        <v>0</v>
      </c>
      <c r="N46" s="75">
        <f t="shared" si="18"/>
        <v>0</v>
      </c>
    </row>
    <row r="47" spans="1:14" ht="11.25">
      <c r="A47" s="16" t="s">
        <v>65</v>
      </c>
      <c r="B47" s="47" t="s">
        <v>66</v>
      </c>
      <c r="C47" s="39">
        <f>D47+E47</f>
        <v>450</v>
      </c>
      <c r="D47" s="13"/>
      <c r="E47" s="74">
        <f>550-100</f>
        <v>450</v>
      </c>
      <c r="F47" s="88">
        <f>G47+H47</f>
        <v>0</v>
      </c>
      <c r="G47" s="93">
        <f>H47+I47</f>
        <v>0</v>
      </c>
      <c r="H47" s="54">
        <f>I47+J47</f>
        <v>0</v>
      </c>
      <c r="I47" s="55">
        <v>0</v>
      </c>
      <c r="J47" s="56"/>
      <c r="K47" s="128">
        <f t="shared" si="17"/>
        <v>0</v>
      </c>
      <c r="L47" s="39">
        <f>M47+N47</f>
        <v>0</v>
      </c>
      <c r="M47" s="13"/>
      <c r="N47" s="74"/>
    </row>
    <row r="48" spans="1:14" s="8" customFormat="1" ht="11.25">
      <c r="A48" s="17" t="s">
        <v>65</v>
      </c>
      <c r="B48" s="48" t="s">
        <v>68</v>
      </c>
      <c r="C48" s="40">
        <f>SUM(C47:C47)</f>
        <v>450</v>
      </c>
      <c r="D48" s="7">
        <f>SUM(D47:D47)</f>
        <v>0</v>
      </c>
      <c r="E48" s="73">
        <f>SUM(E47:E47)</f>
        <v>450</v>
      </c>
      <c r="F48" s="57">
        <f aca="true" t="shared" si="19" ref="F48:N48">SUM(F47:F47)</f>
        <v>0</v>
      </c>
      <c r="G48" s="94">
        <f t="shared" si="19"/>
        <v>0</v>
      </c>
      <c r="H48" s="51">
        <f t="shared" si="19"/>
        <v>0</v>
      </c>
      <c r="I48" s="52">
        <f t="shared" si="19"/>
        <v>0</v>
      </c>
      <c r="J48" s="53">
        <f t="shared" si="19"/>
        <v>0</v>
      </c>
      <c r="K48" s="128">
        <f t="shared" si="17"/>
        <v>0</v>
      </c>
      <c r="L48" s="40">
        <f t="shared" si="19"/>
        <v>0</v>
      </c>
      <c r="M48" s="12">
        <f t="shared" si="19"/>
        <v>0</v>
      </c>
      <c r="N48" s="75">
        <f t="shared" si="19"/>
        <v>0</v>
      </c>
    </row>
    <row r="49" spans="1:14" s="8" customFormat="1" ht="11.25" customHeight="1">
      <c r="A49" s="17" t="s">
        <v>67</v>
      </c>
      <c r="B49" s="48" t="s">
        <v>69</v>
      </c>
      <c r="C49" s="40">
        <f aca="true" t="shared" si="20" ref="C49:C54">D49+E49</f>
        <v>397</v>
      </c>
      <c r="D49" s="7">
        <v>397</v>
      </c>
      <c r="E49" s="73"/>
      <c r="F49" s="57">
        <v>150</v>
      </c>
      <c r="G49" s="94">
        <v>150</v>
      </c>
      <c r="H49" s="51">
        <f aca="true" t="shared" si="21" ref="H49:H54">I49+J49</f>
        <v>397</v>
      </c>
      <c r="I49" s="52">
        <v>397</v>
      </c>
      <c r="J49" s="53"/>
      <c r="K49" s="128">
        <f t="shared" si="17"/>
        <v>1</v>
      </c>
      <c r="L49" s="40">
        <f aca="true" t="shared" si="22" ref="L49:L54">M49+N49</f>
        <v>0</v>
      </c>
      <c r="M49" s="7"/>
      <c r="N49" s="73"/>
    </row>
    <row r="50" spans="1:14" ht="11.25">
      <c r="A50" s="17" t="s">
        <v>210</v>
      </c>
      <c r="B50" s="48" t="s">
        <v>206</v>
      </c>
      <c r="C50" s="40">
        <f t="shared" si="20"/>
        <v>17074</v>
      </c>
      <c r="D50" s="7"/>
      <c r="E50" s="73">
        <v>17074</v>
      </c>
      <c r="F50" s="12">
        <f>G50+H50</f>
        <v>34006</v>
      </c>
      <c r="G50" s="132">
        <f>H50+I50</f>
        <v>17003</v>
      </c>
      <c r="H50" s="51">
        <f t="shared" si="21"/>
        <v>17003</v>
      </c>
      <c r="I50" s="52">
        <v>0</v>
      </c>
      <c r="J50" s="53">
        <v>17003</v>
      </c>
      <c r="K50" s="128">
        <f>H50/C50</f>
        <v>0.9958416305493734</v>
      </c>
      <c r="L50" s="39">
        <f t="shared" si="22"/>
        <v>0</v>
      </c>
      <c r="M50" s="13"/>
      <c r="N50" s="74"/>
    </row>
    <row r="51" spans="1:14" s="10" customFormat="1" ht="11.25">
      <c r="A51" s="16" t="s">
        <v>70</v>
      </c>
      <c r="B51" s="47" t="s">
        <v>179</v>
      </c>
      <c r="C51" s="39">
        <f t="shared" si="20"/>
        <v>4000</v>
      </c>
      <c r="D51" s="13"/>
      <c r="E51" s="74">
        <v>4000</v>
      </c>
      <c r="F51" s="88">
        <f>G51+H51</f>
        <v>324</v>
      </c>
      <c r="G51" s="93">
        <f>H51+I51</f>
        <v>162</v>
      </c>
      <c r="H51" s="54">
        <f t="shared" si="21"/>
        <v>162</v>
      </c>
      <c r="I51" s="55">
        <v>0</v>
      </c>
      <c r="J51" s="56">
        <v>162</v>
      </c>
      <c r="K51" s="128">
        <f>H51/C51</f>
        <v>0.0405</v>
      </c>
      <c r="L51" s="39">
        <f t="shared" si="22"/>
        <v>0</v>
      </c>
      <c r="M51" s="13"/>
      <c r="N51" s="74"/>
    </row>
    <row r="52" spans="1:14" ht="11.25">
      <c r="A52" s="16" t="s">
        <v>70</v>
      </c>
      <c r="B52" s="47" t="s">
        <v>71</v>
      </c>
      <c r="C52" s="39">
        <f t="shared" si="20"/>
        <v>384</v>
      </c>
      <c r="D52" s="13">
        <v>384</v>
      </c>
      <c r="E52" s="74"/>
      <c r="F52" s="88">
        <v>250</v>
      </c>
      <c r="G52" s="93">
        <v>250</v>
      </c>
      <c r="H52" s="54">
        <f t="shared" si="21"/>
        <v>382</v>
      </c>
      <c r="I52" s="55">
        <v>382</v>
      </c>
      <c r="J52" s="56"/>
      <c r="K52" s="128">
        <f t="shared" si="17"/>
        <v>0.9947916666666666</v>
      </c>
      <c r="L52" s="39">
        <f t="shared" si="22"/>
        <v>0</v>
      </c>
      <c r="M52" s="13"/>
      <c r="N52" s="74"/>
    </row>
    <row r="53" spans="1:14" ht="11.25">
      <c r="A53" s="16" t="s">
        <v>70</v>
      </c>
      <c r="B53" s="47" t="s">
        <v>73</v>
      </c>
      <c r="C53" s="39">
        <f t="shared" si="20"/>
        <v>684</v>
      </c>
      <c r="D53" s="13">
        <v>292</v>
      </c>
      <c r="E53" s="74">
        <v>392</v>
      </c>
      <c r="F53" s="88">
        <v>300</v>
      </c>
      <c r="G53" s="93">
        <v>300</v>
      </c>
      <c r="H53" s="54">
        <f t="shared" si="21"/>
        <v>683</v>
      </c>
      <c r="I53" s="55">
        <v>292</v>
      </c>
      <c r="J53" s="56">
        <v>391</v>
      </c>
      <c r="K53" s="128">
        <f t="shared" si="17"/>
        <v>0.9985380116959064</v>
      </c>
      <c r="L53" s="39">
        <f t="shared" si="22"/>
        <v>0</v>
      </c>
      <c r="M53" s="13"/>
      <c r="N53" s="74"/>
    </row>
    <row r="54" spans="1:14" ht="11.25">
      <c r="A54" s="16" t="s">
        <v>70</v>
      </c>
      <c r="B54" s="47" t="s">
        <v>72</v>
      </c>
      <c r="C54" s="39">
        <f t="shared" si="20"/>
        <v>68</v>
      </c>
      <c r="D54" s="13">
        <v>68</v>
      </c>
      <c r="E54" s="74"/>
      <c r="F54" s="88">
        <v>50</v>
      </c>
      <c r="G54" s="93">
        <v>50</v>
      </c>
      <c r="H54" s="54">
        <f t="shared" si="21"/>
        <v>68</v>
      </c>
      <c r="I54" s="55">
        <v>68</v>
      </c>
      <c r="J54" s="56"/>
      <c r="K54" s="128">
        <f t="shared" si="17"/>
        <v>1</v>
      </c>
      <c r="L54" s="39">
        <f t="shared" si="22"/>
        <v>0</v>
      </c>
      <c r="M54" s="13"/>
      <c r="N54" s="74"/>
    </row>
    <row r="55" spans="1:14" s="8" customFormat="1" ht="11.25">
      <c r="A55" s="17" t="s">
        <v>70</v>
      </c>
      <c r="B55" s="48" t="s">
        <v>74</v>
      </c>
      <c r="C55" s="40">
        <f>SUM(C51:C54)</f>
        <v>5136</v>
      </c>
      <c r="D55" s="7">
        <f>SUM(D51:D54)</f>
        <v>744</v>
      </c>
      <c r="E55" s="73">
        <f>SUM(E51:E54)</f>
        <v>4392</v>
      </c>
      <c r="F55" s="57">
        <f aca="true" t="shared" si="23" ref="F55:N55">SUM(F52:F54)</f>
        <v>600</v>
      </c>
      <c r="G55" s="94">
        <f t="shared" si="23"/>
        <v>600</v>
      </c>
      <c r="H55" s="51">
        <f>SUM(H51:H54)</f>
        <v>1295</v>
      </c>
      <c r="I55" s="52">
        <f>SUM(I51:I54)</f>
        <v>742</v>
      </c>
      <c r="J55" s="53">
        <f>SUM(J51:J54)</f>
        <v>553</v>
      </c>
      <c r="K55" s="128">
        <f t="shared" si="17"/>
        <v>0.2521417445482866</v>
      </c>
      <c r="L55" s="40">
        <f t="shared" si="23"/>
        <v>0</v>
      </c>
      <c r="M55" s="12">
        <f t="shared" si="23"/>
        <v>0</v>
      </c>
      <c r="N55" s="75">
        <f t="shared" si="23"/>
        <v>0</v>
      </c>
    </row>
    <row r="56" spans="1:14" ht="11.25">
      <c r="A56" s="16" t="s">
        <v>75</v>
      </c>
      <c r="B56" s="47" t="s">
        <v>76</v>
      </c>
      <c r="C56" s="39">
        <f>D56+E56</f>
        <v>4903</v>
      </c>
      <c r="D56" s="13">
        <v>4903</v>
      </c>
      <c r="E56" s="74"/>
      <c r="F56" s="88">
        <v>8000</v>
      </c>
      <c r="G56" s="93">
        <v>8000</v>
      </c>
      <c r="H56" s="54">
        <f>I56+J56</f>
        <v>4903</v>
      </c>
      <c r="I56" s="55">
        <v>4903</v>
      </c>
      <c r="J56" s="56"/>
      <c r="K56" s="128">
        <f t="shared" si="17"/>
        <v>1</v>
      </c>
      <c r="L56" s="39">
        <f>M56+N56</f>
        <v>0</v>
      </c>
      <c r="M56" s="13"/>
      <c r="N56" s="74"/>
    </row>
    <row r="57" spans="1:14" ht="11.25">
      <c r="A57" s="16" t="s">
        <v>75</v>
      </c>
      <c r="B57" s="47" t="s">
        <v>77</v>
      </c>
      <c r="C57" s="39">
        <f>D57+E57</f>
        <v>300</v>
      </c>
      <c r="D57" s="13">
        <v>300</v>
      </c>
      <c r="E57" s="74"/>
      <c r="F57" s="88">
        <v>300</v>
      </c>
      <c r="G57" s="93">
        <v>300</v>
      </c>
      <c r="H57" s="54">
        <f>I57+J57</f>
        <v>300</v>
      </c>
      <c r="I57" s="55">
        <v>300</v>
      </c>
      <c r="J57" s="56"/>
      <c r="K57" s="128">
        <f t="shared" si="17"/>
        <v>1</v>
      </c>
      <c r="L57" s="39">
        <f>M57+N57</f>
        <v>0</v>
      </c>
      <c r="M57" s="13"/>
      <c r="N57" s="74"/>
    </row>
    <row r="58" spans="1:14" s="8" customFormat="1" ht="11.25">
      <c r="A58" s="17" t="s">
        <v>75</v>
      </c>
      <c r="B58" s="48" t="s">
        <v>76</v>
      </c>
      <c r="C58" s="40">
        <f>SUM(C56:C57)</f>
        <v>5203</v>
      </c>
      <c r="D58" s="7">
        <f>SUM(D56:D57)</f>
        <v>5203</v>
      </c>
      <c r="E58" s="73">
        <f>SUM(E56:E57)</f>
        <v>0</v>
      </c>
      <c r="F58" s="57">
        <f aca="true" t="shared" si="24" ref="F58:N58">SUM(F56:F57)</f>
        <v>8300</v>
      </c>
      <c r="G58" s="94">
        <f t="shared" si="24"/>
        <v>8300</v>
      </c>
      <c r="H58" s="51">
        <f t="shared" si="24"/>
        <v>5203</v>
      </c>
      <c r="I58" s="52">
        <f t="shared" si="24"/>
        <v>5203</v>
      </c>
      <c r="J58" s="53">
        <f t="shared" si="24"/>
        <v>0</v>
      </c>
      <c r="K58" s="128">
        <f t="shared" si="17"/>
        <v>1</v>
      </c>
      <c r="L58" s="40">
        <f t="shared" si="24"/>
        <v>0</v>
      </c>
      <c r="M58" s="12">
        <f t="shared" si="24"/>
        <v>0</v>
      </c>
      <c r="N58" s="75">
        <f t="shared" si="24"/>
        <v>0</v>
      </c>
    </row>
    <row r="59" spans="1:14" ht="11.25">
      <c r="A59" s="16" t="s">
        <v>78</v>
      </c>
      <c r="B59" s="47" t="s">
        <v>79</v>
      </c>
      <c r="C59" s="39">
        <f aca="true" t="shared" si="25" ref="C59:C67">D59+E59</f>
        <v>298</v>
      </c>
      <c r="D59" s="13">
        <v>298</v>
      </c>
      <c r="E59" s="74"/>
      <c r="F59" s="88">
        <v>250</v>
      </c>
      <c r="G59" s="93">
        <v>250</v>
      </c>
      <c r="H59" s="54">
        <f aca="true" t="shared" si="26" ref="H59:H67">I59+J59</f>
        <v>298</v>
      </c>
      <c r="I59" s="55">
        <v>298</v>
      </c>
      <c r="J59" s="56"/>
      <c r="K59" s="128">
        <f t="shared" si="17"/>
        <v>1</v>
      </c>
      <c r="L59" s="39">
        <f aca="true" t="shared" si="27" ref="L59:L67">M59+N59</f>
        <v>0</v>
      </c>
      <c r="M59" s="13"/>
      <c r="N59" s="74"/>
    </row>
    <row r="60" spans="1:14" ht="11.25">
      <c r="A60" s="16" t="s">
        <v>78</v>
      </c>
      <c r="B60" s="47" t="s">
        <v>175</v>
      </c>
      <c r="C60" s="39">
        <f t="shared" si="25"/>
        <v>511</v>
      </c>
      <c r="D60" s="13">
        <v>511</v>
      </c>
      <c r="E60" s="74"/>
      <c r="F60" s="88">
        <f>G60+H60</f>
        <v>1533</v>
      </c>
      <c r="G60" s="93">
        <f>H60+I60</f>
        <v>1022</v>
      </c>
      <c r="H60" s="54">
        <f t="shared" si="26"/>
        <v>511</v>
      </c>
      <c r="I60" s="55">
        <v>511</v>
      </c>
      <c r="J60" s="56"/>
      <c r="K60" s="128">
        <f t="shared" si="17"/>
        <v>1</v>
      </c>
      <c r="L60" s="39">
        <f t="shared" si="27"/>
        <v>0</v>
      </c>
      <c r="M60" s="13"/>
      <c r="N60" s="74"/>
    </row>
    <row r="61" spans="1:14" ht="11.25">
      <c r="A61" s="16" t="s">
        <v>78</v>
      </c>
      <c r="B61" s="47" t="s">
        <v>192</v>
      </c>
      <c r="C61" s="39">
        <f t="shared" si="25"/>
        <v>122</v>
      </c>
      <c r="D61" s="13">
        <v>122</v>
      </c>
      <c r="E61" s="74"/>
      <c r="F61" s="88">
        <v>200</v>
      </c>
      <c r="G61" s="93">
        <v>200</v>
      </c>
      <c r="H61" s="54">
        <f t="shared" si="26"/>
        <v>122</v>
      </c>
      <c r="I61" s="55">
        <v>122</v>
      </c>
      <c r="J61" s="56"/>
      <c r="K61" s="128">
        <f t="shared" si="17"/>
        <v>1</v>
      </c>
      <c r="L61" s="39">
        <f t="shared" si="27"/>
        <v>0</v>
      </c>
      <c r="M61" s="13"/>
      <c r="N61" s="74"/>
    </row>
    <row r="62" spans="1:14" ht="11.25">
      <c r="A62" s="16" t="s">
        <v>78</v>
      </c>
      <c r="B62" s="47" t="s">
        <v>168</v>
      </c>
      <c r="C62" s="39">
        <f t="shared" si="25"/>
        <v>400</v>
      </c>
      <c r="D62" s="13">
        <v>400</v>
      </c>
      <c r="E62" s="74"/>
      <c r="F62" s="88">
        <v>400</v>
      </c>
      <c r="G62" s="93">
        <v>400</v>
      </c>
      <c r="H62" s="54">
        <f t="shared" si="26"/>
        <v>400</v>
      </c>
      <c r="I62" s="55">
        <v>400</v>
      </c>
      <c r="J62" s="56"/>
      <c r="K62" s="128">
        <f t="shared" si="17"/>
        <v>1</v>
      </c>
      <c r="L62" s="39">
        <f t="shared" si="27"/>
        <v>0</v>
      </c>
      <c r="M62" s="13"/>
      <c r="N62" s="74"/>
    </row>
    <row r="63" spans="1:14" ht="11.25">
      <c r="A63" s="16" t="s">
        <v>78</v>
      </c>
      <c r="B63" s="47" t="s">
        <v>80</v>
      </c>
      <c r="C63" s="39">
        <f t="shared" si="25"/>
        <v>5400</v>
      </c>
      <c r="D63" s="13">
        <f>5000+400</f>
        <v>5400</v>
      </c>
      <c r="E63" s="74"/>
      <c r="F63" s="88">
        <v>5200</v>
      </c>
      <c r="G63" s="93">
        <v>5300</v>
      </c>
      <c r="H63" s="54">
        <f t="shared" si="26"/>
        <v>4797</v>
      </c>
      <c r="I63" s="55">
        <v>4797</v>
      </c>
      <c r="J63" s="56"/>
      <c r="K63" s="128">
        <f t="shared" si="17"/>
        <v>0.8883333333333333</v>
      </c>
      <c r="L63" s="39">
        <f t="shared" si="27"/>
        <v>400</v>
      </c>
      <c r="M63" s="13">
        <v>400</v>
      </c>
      <c r="N63" s="74"/>
    </row>
    <row r="64" spans="1:14" ht="11.25" hidden="1">
      <c r="A64" s="16"/>
      <c r="B64" s="47"/>
      <c r="C64" s="39"/>
      <c r="D64" s="13"/>
      <c r="E64" s="74"/>
      <c r="F64" s="88"/>
      <c r="G64" s="93"/>
      <c r="H64" s="39"/>
      <c r="I64" s="13"/>
      <c r="J64" s="56"/>
      <c r="K64" s="128"/>
      <c r="L64" s="121" t="s">
        <v>201</v>
      </c>
      <c r="M64" s="122"/>
      <c r="N64" s="123"/>
    </row>
    <row r="65" spans="1:14" ht="11.25" hidden="1">
      <c r="A65" s="16" t="s">
        <v>78</v>
      </c>
      <c r="B65" s="47" t="s">
        <v>186</v>
      </c>
      <c r="C65" s="39">
        <f t="shared" si="25"/>
        <v>0</v>
      </c>
      <c r="D65" s="13">
        <v>0</v>
      </c>
      <c r="E65" s="74"/>
      <c r="F65" s="88">
        <v>1000</v>
      </c>
      <c r="G65" s="93">
        <v>1000</v>
      </c>
      <c r="H65" s="39">
        <f t="shared" si="26"/>
        <v>0</v>
      </c>
      <c r="I65" s="13"/>
      <c r="J65" s="56"/>
      <c r="K65" s="128">
        <v>0</v>
      </c>
      <c r="L65" s="39">
        <f t="shared" si="27"/>
        <v>0</v>
      </c>
      <c r="M65" s="13"/>
      <c r="N65" s="74"/>
    </row>
    <row r="66" spans="1:14" ht="11.25">
      <c r="A66" s="16" t="s">
        <v>78</v>
      </c>
      <c r="B66" s="47" t="s">
        <v>81</v>
      </c>
      <c r="C66" s="39">
        <f t="shared" si="25"/>
        <v>18500</v>
      </c>
      <c r="D66" s="13"/>
      <c r="E66" s="74">
        <v>18500</v>
      </c>
      <c r="F66" s="88">
        <v>18500</v>
      </c>
      <c r="G66" s="93">
        <v>18500</v>
      </c>
      <c r="H66" s="54">
        <f t="shared" si="26"/>
        <v>870</v>
      </c>
      <c r="I66" s="55">
        <v>0</v>
      </c>
      <c r="J66" s="56">
        <v>870</v>
      </c>
      <c r="K66" s="128">
        <f>H66/C66</f>
        <v>0.047027027027027025</v>
      </c>
      <c r="L66" s="39">
        <f t="shared" si="27"/>
        <v>0</v>
      </c>
      <c r="M66" s="13"/>
      <c r="N66" s="74"/>
    </row>
    <row r="67" spans="1:14" ht="11.25">
      <c r="A67" s="16" t="s">
        <v>78</v>
      </c>
      <c r="B67" s="47" t="s">
        <v>191</v>
      </c>
      <c r="C67" s="39">
        <f t="shared" si="25"/>
        <v>2700</v>
      </c>
      <c r="D67" s="13">
        <v>2700</v>
      </c>
      <c r="E67" s="74"/>
      <c r="F67" s="88"/>
      <c r="G67" s="93"/>
      <c r="H67" s="54">
        <f t="shared" si="26"/>
        <v>60</v>
      </c>
      <c r="I67" s="55">
        <v>60</v>
      </c>
      <c r="J67" s="56"/>
      <c r="K67" s="128">
        <f>H67/C67</f>
        <v>0.022222222222222223</v>
      </c>
      <c r="L67" s="39">
        <f t="shared" si="27"/>
        <v>0</v>
      </c>
      <c r="M67" s="44"/>
      <c r="N67" s="87"/>
    </row>
    <row r="68" spans="1:14" s="8" customFormat="1" ht="11.25">
      <c r="A68" s="17" t="s">
        <v>78</v>
      </c>
      <c r="B68" s="48" t="s">
        <v>82</v>
      </c>
      <c r="C68" s="40">
        <f>SUM(C59:C67)</f>
        <v>27931</v>
      </c>
      <c r="D68" s="7">
        <f>SUM(D59:D67)</f>
        <v>9431</v>
      </c>
      <c r="E68" s="73">
        <f>SUM(E59:E67)</f>
        <v>18500</v>
      </c>
      <c r="F68" s="57">
        <f aca="true" t="shared" si="28" ref="F68:N68">SUM(F59:F66)</f>
        <v>27083</v>
      </c>
      <c r="G68" s="94">
        <f t="shared" si="28"/>
        <v>26672</v>
      </c>
      <c r="H68" s="51">
        <f>SUM(H59:H67)</f>
        <v>7058</v>
      </c>
      <c r="I68" s="52">
        <f>SUM(I59:I67)</f>
        <v>6188</v>
      </c>
      <c r="J68" s="53">
        <f t="shared" si="28"/>
        <v>870</v>
      </c>
      <c r="K68" s="128">
        <f>H68/C68</f>
        <v>0.2526941391285668</v>
      </c>
      <c r="L68" s="40">
        <f t="shared" si="28"/>
        <v>400</v>
      </c>
      <c r="M68" s="12">
        <f t="shared" si="28"/>
        <v>400</v>
      </c>
      <c r="N68" s="75">
        <f t="shared" si="28"/>
        <v>0</v>
      </c>
    </row>
    <row r="69" spans="1:14" s="8" customFormat="1" ht="11.25">
      <c r="A69" s="17" t="s">
        <v>83</v>
      </c>
      <c r="B69" s="48" t="s">
        <v>84</v>
      </c>
      <c r="C69" s="40">
        <f>E69+D69</f>
        <v>16797</v>
      </c>
      <c r="D69" s="7">
        <v>16797</v>
      </c>
      <c r="E69" s="73"/>
      <c r="F69" s="57">
        <v>16000</v>
      </c>
      <c r="G69" s="94">
        <v>16500</v>
      </c>
      <c r="H69" s="51">
        <f>J69+I69</f>
        <v>16797</v>
      </c>
      <c r="I69" s="52">
        <v>16797</v>
      </c>
      <c r="J69" s="53"/>
      <c r="K69" s="128">
        <f>H69/C69</f>
        <v>1</v>
      </c>
      <c r="L69" s="40">
        <v>0</v>
      </c>
      <c r="M69" s="17" t="s">
        <v>198</v>
      </c>
      <c r="N69" s="73"/>
    </row>
    <row r="70" spans="1:14" s="8" customFormat="1" ht="22.5" customHeight="1" hidden="1">
      <c r="A70" s="17"/>
      <c r="B70" s="48"/>
      <c r="C70" s="40"/>
      <c r="D70" s="7"/>
      <c r="E70" s="73"/>
      <c r="F70" s="57"/>
      <c r="G70" s="94"/>
      <c r="H70" s="51"/>
      <c r="I70" s="52"/>
      <c r="J70" s="53"/>
      <c r="K70" s="128"/>
      <c r="L70" s="121" t="s">
        <v>202</v>
      </c>
      <c r="M70" s="122"/>
      <c r="N70" s="123"/>
    </row>
    <row r="71" spans="1:14" s="8" customFormat="1" ht="11.25">
      <c r="A71" s="17" t="s">
        <v>85</v>
      </c>
      <c r="B71" s="48" t="s">
        <v>86</v>
      </c>
      <c r="C71" s="40">
        <f>E71+D71</f>
        <v>4500</v>
      </c>
      <c r="D71" s="7">
        <v>4500</v>
      </c>
      <c r="E71" s="73"/>
      <c r="F71" s="57">
        <v>4500</v>
      </c>
      <c r="G71" s="94">
        <v>4500</v>
      </c>
      <c r="H71" s="51">
        <f>J71+I71</f>
        <v>4489</v>
      </c>
      <c r="I71" s="52">
        <v>4489</v>
      </c>
      <c r="J71" s="53"/>
      <c r="K71" s="128">
        <f aca="true" t="shared" si="29" ref="K71:K99">H71/C71</f>
        <v>0.9975555555555555</v>
      </c>
      <c r="L71" s="40">
        <f>N71+M71</f>
        <v>0</v>
      </c>
      <c r="M71" s="7"/>
      <c r="N71" s="73"/>
    </row>
    <row r="72" spans="1:14" s="8" customFormat="1" ht="11.25">
      <c r="A72" s="17" t="s">
        <v>87</v>
      </c>
      <c r="B72" s="48" t="s">
        <v>88</v>
      </c>
      <c r="C72" s="40">
        <f>E72+D72</f>
        <v>1531</v>
      </c>
      <c r="D72" s="7">
        <v>1531</v>
      </c>
      <c r="E72" s="73"/>
      <c r="F72" s="57">
        <f>1550*1.04</f>
        <v>1612</v>
      </c>
      <c r="G72" s="94">
        <f>1612*1.04</f>
        <v>1676.48</v>
      </c>
      <c r="H72" s="51">
        <f>J72+I72</f>
        <v>1490</v>
      </c>
      <c r="I72" s="52">
        <v>1490</v>
      </c>
      <c r="J72" s="53"/>
      <c r="K72" s="128">
        <f t="shared" si="29"/>
        <v>0.9732201175702155</v>
      </c>
      <c r="L72" s="40">
        <f>N72+M72</f>
        <v>0</v>
      </c>
      <c r="M72" s="7"/>
      <c r="N72" s="73"/>
    </row>
    <row r="73" spans="1:14" s="8" customFormat="1" ht="11.25">
      <c r="A73" s="17" t="s">
        <v>89</v>
      </c>
      <c r="B73" s="48" t="s">
        <v>90</v>
      </c>
      <c r="C73" s="40">
        <f>E73+D73</f>
        <v>500</v>
      </c>
      <c r="D73" s="7">
        <v>500</v>
      </c>
      <c r="E73" s="73"/>
      <c r="F73" s="57">
        <v>500</v>
      </c>
      <c r="G73" s="94">
        <v>500</v>
      </c>
      <c r="H73" s="51">
        <f>J73+I73</f>
        <v>454</v>
      </c>
      <c r="I73" s="52">
        <v>454</v>
      </c>
      <c r="J73" s="53"/>
      <c r="K73" s="128">
        <f t="shared" si="29"/>
        <v>0.908</v>
      </c>
      <c r="L73" s="40">
        <f>N73+M73</f>
        <v>0</v>
      </c>
      <c r="M73" s="7"/>
      <c r="N73" s="73"/>
    </row>
    <row r="74" spans="1:14" ht="11.25">
      <c r="A74" s="16" t="s">
        <v>91</v>
      </c>
      <c r="B74" s="47" t="s">
        <v>92</v>
      </c>
      <c r="C74" s="39">
        <f>E74+D74</f>
        <v>716</v>
      </c>
      <c r="D74" s="13">
        <v>716</v>
      </c>
      <c r="E74" s="74"/>
      <c r="F74" s="88">
        <v>1050</v>
      </c>
      <c r="G74" s="93">
        <v>1050</v>
      </c>
      <c r="H74" s="54">
        <f>J74+I74</f>
        <v>345</v>
      </c>
      <c r="I74" s="55">
        <v>345</v>
      </c>
      <c r="J74" s="56"/>
      <c r="K74" s="128">
        <f t="shared" si="29"/>
        <v>0.4818435754189944</v>
      </c>
      <c r="L74" s="39">
        <f>N74+M74</f>
        <v>0</v>
      </c>
      <c r="M74" s="13"/>
      <c r="N74" s="74"/>
    </row>
    <row r="75" spans="1:14" s="8" customFormat="1" ht="11.25">
      <c r="A75" s="17" t="s">
        <v>91</v>
      </c>
      <c r="B75" s="48" t="s">
        <v>93</v>
      </c>
      <c r="C75" s="40">
        <f>SUM(C74:C74)</f>
        <v>716</v>
      </c>
      <c r="D75" s="7">
        <f>SUM(D74:D74)</f>
        <v>716</v>
      </c>
      <c r="E75" s="73">
        <f>SUM(E74:E74)</f>
        <v>0</v>
      </c>
      <c r="F75" s="57">
        <f aca="true" t="shared" si="30" ref="F75:N75">SUM(F74:F74)</f>
        <v>1050</v>
      </c>
      <c r="G75" s="94">
        <f t="shared" si="30"/>
        <v>1050</v>
      </c>
      <c r="H75" s="51">
        <f t="shared" si="30"/>
        <v>345</v>
      </c>
      <c r="I75" s="52">
        <f t="shared" si="30"/>
        <v>345</v>
      </c>
      <c r="J75" s="53">
        <f t="shared" si="30"/>
        <v>0</v>
      </c>
      <c r="K75" s="128">
        <f t="shared" si="29"/>
        <v>0.4818435754189944</v>
      </c>
      <c r="L75" s="40">
        <f t="shared" si="30"/>
        <v>0</v>
      </c>
      <c r="M75" s="12">
        <f t="shared" si="30"/>
        <v>0</v>
      </c>
      <c r="N75" s="75">
        <f t="shared" si="30"/>
        <v>0</v>
      </c>
    </row>
    <row r="76" spans="1:14" s="8" customFormat="1" ht="11.25">
      <c r="A76" s="17" t="s">
        <v>94</v>
      </c>
      <c r="B76" s="48" t="s">
        <v>95</v>
      </c>
      <c r="C76" s="40">
        <f>E76+D76</f>
        <v>1749</v>
      </c>
      <c r="D76" s="7">
        <v>1749</v>
      </c>
      <c r="E76" s="73"/>
      <c r="F76" s="57">
        <v>2700</v>
      </c>
      <c r="G76" s="94">
        <v>2700</v>
      </c>
      <c r="H76" s="51">
        <f>J76+I76</f>
        <v>1741</v>
      </c>
      <c r="I76" s="52">
        <v>1741</v>
      </c>
      <c r="J76" s="53"/>
      <c r="K76" s="128">
        <f t="shared" si="29"/>
        <v>0.9954259576901087</v>
      </c>
      <c r="L76" s="40">
        <f>N76+M76</f>
        <v>0</v>
      </c>
      <c r="M76" s="7">
        <v>0</v>
      </c>
      <c r="N76" s="73"/>
    </row>
    <row r="77" spans="1:14" ht="11.25">
      <c r="A77" s="16" t="s">
        <v>96</v>
      </c>
      <c r="B77" s="47" t="s">
        <v>97</v>
      </c>
      <c r="C77" s="39">
        <f>E77+D77</f>
        <v>674</v>
      </c>
      <c r="D77" s="13">
        <v>674</v>
      </c>
      <c r="E77" s="74"/>
      <c r="F77" s="88">
        <v>850</v>
      </c>
      <c r="G77" s="93">
        <v>850</v>
      </c>
      <c r="H77" s="54">
        <f>J77+I77</f>
        <v>339</v>
      </c>
      <c r="I77" s="55">
        <v>339</v>
      </c>
      <c r="J77" s="56"/>
      <c r="K77" s="128">
        <f t="shared" si="29"/>
        <v>0.5029673590504451</v>
      </c>
      <c r="L77" s="39">
        <f>N77+M77</f>
        <v>0</v>
      </c>
      <c r="M77" s="13"/>
      <c r="N77" s="74"/>
    </row>
    <row r="78" spans="1:14" ht="11.25">
      <c r="A78" s="16" t="s">
        <v>96</v>
      </c>
      <c r="B78" s="47" t="s">
        <v>193</v>
      </c>
      <c r="C78" s="39">
        <f>E78+D78</f>
        <v>366</v>
      </c>
      <c r="D78" s="13">
        <v>366</v>
      </c>
      <c r="E78" s="74"/>
      <c r="F78" s="88">
        <v>50</v>
      </c>
      <c r="G78" s="93">
        <v>50</v>
      </c>
      <c r="H78" s="54">
        <f>J78+I78</f>
        <v>366</v>
      </c>
      <c r="I78" s="55">
        <v>366</v>
      </c>
      <c r="J78" s="56"/>
      <c r="K78" s="128">
        <f t="shared" si="29"/>
        <v>1</v>
      </c>
      <c r="L78" s="39">
        <f>N78+M78</f>
        <v>0</v>
      </c>
      <c r="M78" s="13"/>
      <c r="N78" s="74"/>
    </row>
    <row r="79" spans="1:14" s="8" customFormat="1" ht="11.25">
      <c r="A79" s="16" t="s">
        <v>96</v>
      </c>
      <c r="B79" s="47" t="s">
        <v>98</v>
      </c>
      <c r="C79" s="39">
        <f>E79+D79</f>
        <v>1300</v>
      </c>
      <c r="D79" s="13">
        <v>1300</v>
      </c>
      <c r="E79" s="74"/>
      <c r="F79" s="88">
        <v>1300</v>
      </c>
      <c r="G79" s="93">
        <v>1300</v>
      </c>
      <c r="H79" s="54">
        <f>J79+I79</f>
        <v>1300</v>
      </c>
      <c r="I79" s="55">
        <v>1300</v>
      </c>
      <c r="J79" s="56"/>
      <c r="K79" s="128">
        <f t="shared" si="29"/>
        <v>1</v>
      </c>
      <c r="L79" s="39">
        <f>N79+M79</f>
        <v>0</v>
      </c>
      <c r="M79" s="13"/>
      <c r="N79" s="74"/>
    </row>
    <row r="80" spans="1:14" s="8" customFormat="1" ht="11.25">
      <c r="A80" s="17" t="s">
        <v>96</v>
      </c>
      <c r="B80" s="48" t="s">
        <v>23</v>
      </c>
      <c r="C80" s="40">
        <f>SUM(C77:C79)</f>
        <v>2340</v>
      </c>
      <c r="D80" s="7">
        <f>SUM(D77:D79)</f>
        <v>2340</v>
      </c>
      <c r="E80" s="73">
        <f>SUM(E77:E79)</f>
        <v>0</v>
      </c>
      <c r="F80" s="57">
        <f aca="true" t="shared" si="31" ref="F80:N80">SUM(F77:F79)</f>
        <v>2200</v>
      </c>
      <c r="G80" s="94">
        <f t="shared" si="31"/>
        <v>2200</v>
      </c>
      <c r="H80" s="51">
        <f t="shared" si="31"/>
        <v>2005</v>
      </c>
      <c r="I80" s="52">
        <f t="shared" si="31"/>
        <v>2005</v>
      </c>
      <c r="J80" s="53">
        <f t="shared" si="31"/>
        <v>0</v>
      </c>
      <c r="K80" s="128">
        <f t="shared" si="29"/>
        <v>0.8568376068376068</v>
      </c>
      <c r="L80" s="40">
        <f t="shared" si="31"/>
        <v>0</v>
      </c>
      <c r="M80" s="12">
        <f t="shared" si="31"/>
        <v>0</v>
      </c>
      <c r="N80" s="75">
        <f t="shared" si="31"/>
        <v>0</v>
      </c>
    </row>
    <row r="81" spans="1:14" s="8" customFormat="1" ht="11.25">
      <c r="A81" s="16" t="s">
        <v>99</v>
      </c>
      <c r="B81" s="47" t="s">
        <v>100</v>
      </c>
      <c r="C81" s="39">
        <f>E81+D81</f>
        <v>126</v>
      </c>
      <c r="D81" s="13">
        <v>126</v>
      </c>
      <c r="E81" s="74"/>
      <c r="F81" s="88">
        <v>165</v>
      </c>
      <c r="G81" s="93">
        <v>165</v>
      </c>
      <c r="H81" s="54">
        <f>J81+I81</f>
        <v>82</v>
      </c>
      <c r="I81" s="55">
        <v>82</v>
      </c>
      <c r="J81" s="56"/>
      <c r="K81" s="128">
        <f t="shared" si="29"/>
        <v>0.6507936507936508</v>
      </c>
      <c r="L81" s="39">
        <f>N81+M81</f>
        <v>0</v>
      </c>
      <c r="M81" s="13"/>
      <c r="N81" s="74"/>
    </row>
    <row r="82" spans="1:14" s="8" customFormat="1" ht="11.25">
      <c r="A82" s="16" t="s">
        <v>99</v>
      </c>
      <c r="B82" s="47" t="s">
        <v>101</v>
      </c>
      <c r="C82" s="39">
        <f>E82+D82</f>
        <v>865</v>
      </c>
      <c r="D82" s="13">
        <v>865</v>
      </c>
      <c r="E82" s="74"/>
      <c r="F82" s="88">
        <v>400</v>
      </c>
      <c r="G82" s="93">
        <v>400</v>
      </c>
      <c r="H82" s="54">
        <f>J82+I82</f>
        <v>852</v>
      </c>
      <c r="I82" s="55">
        <v>852</v>
      </c>
      <c r="J82" s="56"/>
      <c r="K82" s="128">
        <f t="shared" si="29"/>
        <v>0.9849710982658959</v>
      </c>
      <c r="L82" s="39">
        <f>N82+M82</f>
        <v>0</v>
      </c>
      <c r="M82" s="13"/>
      <c r="N82" s="74"/>
    </row>
    <row r="83" spans="1:14" s="8" customFormat="1" ht="11.25">
      <c r="A83" s="17" t="s">
        <v>99</v>
      </c>
      <c r="B83" s="48" t="s">
        <v>24</v>
      </c>
      <c r="C83" s="40">
        <f>SUM(C81:C82)</f>
        <v>991</v>
      </c>
      <c r="D83" s="7">
        <f>SUM(D81:D82)</f>
        <v>991</v>
      </c>
      <c r="E83" s="73">
        <f>SUM(E81:E82)</f>
        <v>0</v>
      </c>
      <c r="F83" s="57">
        <f aca="true" t="shared" si="32" ref="F83:N83">SUM(F81:F82)</f>
        <v>565</v>
      </c>
      <c r="G83" s="94">
        <f t="shared" si="32"/>
        <v>565</v>
      </c>
      <c r="H83" s="51">
        <f t="shared" si="32"/>
        <v>934</v>
      </c>
      <c r="I83" s="52">
        <f t="shared" si="32"/>
        <v>934</v>
      </c>
      <c r="J83" s="53">
        <f t="shared" si="32"/>
        <v>0</v>
      </c>
      <c r="K83" s="128">
        <f t="shared" si="29"/>
        <v>0.9424823410696267</v>
      </c>
      <c r="L83" s="40">
        <f t="shared" si="32"/>
        <v>0</v>
      </c>
      <c r="M83" s="12">
        <f t="shared" si="32"/>
        <v>0</v>
      </c>
      <c r="N83" s="75">
        <f t="shared" si="32"/>
        <v>0</v>
      </c>
    </row>
    <row r="84" spans="1:14" s="8" customFormat="1" ht="11.25">
      <c r="A84" s="17" t="s">
        <v>169</v>
      </c>
      <c r="B84" s="48" t="s">
        <v>102</v>
      </c>
      <c r="C84" s="40">
        <f>E84+D84</f>
        <v>129</v>
      </c>
      <c r="D84" s="7">
        <v>129</v>
      </c>
      <c r="E84" s="73"/>
      <c r="F84" s="57">
        <v>102</v>
      </c>
      <c r="G84" s="94">
        <v>102</v>
      </c>
      <c r="H84" s="51">
        <f>J84+I84</f>
        <v>116</v>
      </c>
      <c r="I84" s="52">
        <v>116</v>
      </c>
      <c r="J84" s="53"/>
      <c r="K84" s="128">
        <f t="shared" si="29"/>
        <v>0.8992248062015504</v>
      </c>
      <c r="L84" s="40">
        <f>N84+M84</f>
        <v>0</v>
      </c>
      <c r="M84" s="7"/>
      <c r="N84" s="73"/>
    </row>
    <row r="85" spans="1:14" s="8" customFormat="1" ht="11.25">
      <c r="A85" s="17" t="s">
        <v>103</v>
      </c>
      <c r="B85" s="48" t="s">
        <v>104</v>
      </c>
      <c r="C85" s="40">
        <f>E85+D85</f>
        <v>251</v>
      </c>
      <c r="D85" s="7">
        <v>251</v>
      </c>
      <c r="E85" s="73"/>
      <c r="F85" s="57">
        <v>40</v>
      </c>
      <c r="G85" s="94">
        <v>40</v>
      </c>
      <c r="H85" s="51">
        <f>J85+I85</f>
        <v>207</v>
      </c>
      <c r="I85" s="52">
        <v>207</v>
      </c>
      <c r="J85" s="53"/>
      <c r="K85" s="128">
        <f t="shared" si="29"/>
        <v>0.8247011952191236</v>
      </c>
      <c r="L85" s="40">
        <f>N85+M85</f>
        <v>0</v>
      </c>
      <c r="M85" s="7"/>
      <c r="N85" s="73"/>
    </row>
    <row r="86" spans="1:14" ht="11.25">
      <c r="A86" s="16" t="s">
        <v>105</v>
      </c>
      <c r="B86" s="47" t="s">
        <v>106</v>
      </c>
      <c r="C86" s="39">
        <f>E86+D86</f>
        <v>50</v>
      </c>
      <c r="D86" s="13">
        <v>50</v>
      </c>
      <c r="E86" s="74"/>
      <c r="F86" s="88">
        <v>50</v>
      </c>
      <c r="G86" s="93">
        <v>50</v>
      </c>
      <c r="H86" s="54">
        <f>J86+I86</f>
        <v>10</v>
      </c>
      <c r="I86" s="55">
        <v>10</v>
      </c>
      <c r="J86" s="56"/>
      <c r="K86" s="128">
        <f t="shared" si="29"/>
        <v>0.2</v>
      </c>
      <c r="L86" s="39">
        <f>N86+M86</f>
        <v>0</v>
      </c>
      <c r="M86" s="13"/>
      <c r="N86" s="74"/>
    </row>
    <row r="87" spans="1:14" s="8" customFormat="1" ht="11.25">
      <c r="A87" s="17" t="s">
        <v>105</v>
      </c>
      <c r="B87" s="48" t="s">
        <v>107</v>
      </c>
      <c r="C87" s="40">
        <f>SUM(C86:C86)</f>
        <v>50</v>
      </c>
      <c r="D87" s="7">
        <f>SUM(D86:D86)</f>
        <v>50</v>
      </c>
      <c r="E87" s="73">
        <f>SUM(E86:E86)</f>
        <v>0</v>
      </c>
      <c r="F87" s="57">
        <f aca="true" t="shared" si="33" ref="F87:N87">SUM(F86:F86)</f>
        <v>50</v>
      </c>
      <c r="G87" s="94">
        <f t="shared" si="33"/>
        <v>50</v>
      </c>
      <c r="H87" s="51">
        <f t="shared" si="33"/>
        <v>10</v>
      </c>
      <c r="I87" s="52">
        <f t="shared" si="33"/>
        <v>10</v>
      </c>
      <c r="J87" s="53">
        <f t="shared" si="33"/>
        <v>0</v>
      </c>
      <c r="K87" s="128">
        <f t="shared" si="29"/>
        <v>0.2</v>
      </c>
      <c r="L87" s="40">
        <f t="shared" si="33"/>
        <v>0</v>
      </c>
      <c r="M87" s="12">
        <f t="shared" si="33"/>
        <v>0</v>
      </c>
      <c r="N87" s="75">
        <f t="shared" si="33"/>
        <v>0</v>
      </c>
    </row>
    <row r="88" spans="1:14" ht="11.25">
      <c r="A88" s="16" t="s">
        <v>108</v>
      </c>
      <c r="B88" s="47" t="s">
        <v>109</v>
      </c>
      <c r="C88" s="39">
        <f>E88+D88</f>
        <v>50</v>
      </c>
      <c r="D88" s="13">
        <v>50</v>
      </c>
      <c r="E88" s="74"/>
      <c r="F88" s="88">
        <v>50</v>
      </c>
      <c r="G88" s="93">
        <v>50</v>
      </c>
      <c r="H88" s="54">
        <f>J88+I88</f>
        <v>50</v>
      </c>
      <c r="I88" s="55">
        <v>50</v>
      </c>
      <c r="J88" s="56"/>
      <c r="K88" s="128">
        <f t="shared" si="29"/>
        <v>1</v>
      </c>
      <c r="L88" s="39">
        <f>N88+M88</f>
        <v>0</v>
      </c>
      <c r="M88" s="13"/>
      <c r="N88" s="74"/>
    </row>
    <row r="89" spans="1:14" s="8" customFormat="1" ht="11.25">
      <c r="A89" s="17" t="s">
        <v>108</v>
      </c>
      <c r="B89" s="48" t="s">
        <v>109</v>
      </c>
      <c r="C89" s="40">
        <f>SUM(C88:C88)</f>
        <v>50</v>
      </c>
      <c r="D89" s="7">
        <f>SUM(D88:D88)</f>
        <v>50</v>
      </c>
      <c r="E89" s="73">
        <f>SUM(E88:E88)</f>
        <v>0</v>
      </c>
      <c r="F89" s="57">
        <f aca="true" t="shared" si="34" ref="F89:N89">SUM(F88:F88)</f>
        <v>50</v>
      </c>
      <c r="G89" s="94">
        <f t="shared" si="34"/>
        <v>50</v>
      </c>
      <c r="H89" s="51">
        <f t="shared" si="34"/>
        <v>50</v>
      </c>
      <c r="I89" s="52">
        <f t="shared" si="34"/>
        <v>50</v>
      </c>
      <c r="J89" s="53">
        <f t="shared" si="34"/>
        <v>0</v>
      </c>
      <c r="K89" s="128">
        <f t="shared" si="29"/>
        <v>1</v>
      </c>
      <c r="L89" s="40">
        <f t="shared" si="34"/>
        <v>0</v>
      </c>
      <c r="M89" s="12">
        <f t="shared" si="34"/>
        <v>0</v>
      </c>
      <c r="N89" s="75">
        <f t="shared" si="34"/>
        <v>0</v>
      </c>
    </row>
    <row r="90" spans="1:14" s="8" customFormat="1" ht="11.25">
      <c r="A90" s="17" t="s">
        <v>110</v>
      </c>
      <c r="B90" s="48" t="s">
        <v>111</v>
      </c>
      <c r="C90" s="40">
        <f aca="true" t="shared" si="35" ref="C90:C98">E90+D90</f>
        <v>866</v>
      </c>
      <c r="D90" s="7">
        <v>866</v>
      </c>
      <c r="E90" s="73"/>
      <c r="F90" s="57">
        <v>689</v>
      </c>
      <c r="G90" s="94">
        <v>689</v>
      </c>
      <c r="H90" s="51">
        <f aca="true" t="shared" si="36" ref="H90:H98">J90+I90</f>
        <v>866</v>
      </c>
      <c r="I90" s="52">
        <v>866</v>
      </c>
      <c r="J90" s="53"/>
      <c r="K90" s="128">
        <f t="shared" si="29"/>
        <v>1</v>
      </c>
      <c r="L90" s="40">
        <f aca="true" t="shared" si="37" ref="L90:L98">N90+M90</f>
        <v>0</v>
      </c>
      <c r="M90" s="7"/>
      <c r="N90" s="73"/>
    </row>
    <row r="91" spans="1:14" s="8" customFormat="1" ht="11.25">
      <c r="A91" s="17" t="s">
        <v>112</v>
      </c>
      <c r="B91" s="48" t="s">
        <v>25</v>
      </c>
      <c r="C91" s="40">
        <f t="shared" si="35"/>
        <v>149</v>
      </c>
      <c r="D91" s="7">
        <v>149</v>
      </c>
      <c r="E91" s="73"/>
      <c r="F91" s="57">
        <v>262</v>
      </c>
      <c r="G91" s="94">
        <v>262</v>
      </c>
      <c r="H91" s="51">
        <f t="shared" si="36"/>
        <v>66</v>
      </c>
      <c r="I91" s="52">
        <v>66</v>
      </c>
      <c r="J91" s="53"/>
      <c r="K91" s="128">
        <f t="shared" si="29"/>
        <v>0.4429530201342282</v>
      </c>
      <c r="L91" s="40">
        <f t="shared" si="37"/>
        <v>0</v>
      </c>
      <c r="M91" s="7"/>
      <c r="N91" s="73"/>
    </row>
    <row r="92" spans="1:14" s="8" customFormat="1" ht="11.25">
      <c r="A92" s="17" t="s">
        <v>113</v>
      </c>
      <c r="B92" s="48" t="s">
        <v>114</v>
      </c>
      <c r="C92" s="40">
        <f t="shared" si="35"/>
        <v>6000</v>
      </c>
      <c r="D92" s="7">
        <f>5775+225</f>
        <v>6000</v>
      </c>
      <c r="E92" s="73"/>
      <c r="F92" s="57">
        <v>6000</v>
      </c>
      <c r="G92" s="94">
        <v>6000</v>
      </c>
      <c r="H92" s="51">
        <f t="shared" si="36"/>
        <v>5731</v>
      </c>
      <c r="I92" s="52">
        <v>5731</v>
      </c>
      <c r="J92" s="53"/>
      <c r="K92" s="128">
        <f t="shared" si="29"/>
        <v>0.9551666666666667</v>
      </c>
      <c r="L92" s="40">
        <f t="shared" si="37"/>
        <v>0</v>
      </c>
      <c r="M92" s="7"/>
      <c r="N92" s="73"/>
    </row>
    <row r="93" spans="1:14" s="8" customFormat="1" ht="11.25">
      <c r="A93" s="17" t="s">
        <v>115</v>
      </c>
      <c r="B93" s="48" t="s">
        <v>116</v>
      </c>
      <c r="C93" s="40">
        <f t="shared" si="35"/>
        <v>5</v>
      </c>
      <c r="D93" s="7">
        <v>5</v>
      </c>
      <c r="E93" s="73"/>
      <c r="F93" s="57">
        <v>5</v>
      </c>
      <c r="G93" s="94">
        <v>5</v>
      </c>
      <c r="H93" s="51">
        <f t="shared" si="36"/>
        <v>0</v>
      </c>
      <c r="I93" s="52">
        <v>0</v>
      </c>
      <c r="J93" s="53"/>
      <c r="K93" s="128">
        <f t="shared" si="29"/>
        <v>0</v>
      </c>
      <c r="L93" s="40">
        <f t="shared" si="37"/>
        <v>0</v>
      </c>
      <c r="M93" s="7"/>
      <c r="N93" s="73"/>
    </row>
    <row r="94" spans="1:14" s="8" customFormat="1" ht="11.25">
      <c r="A94" s="17" t="s">
        <v>117</v>
      </c>
      <c r="B94" s="48" t="s">
        <v>26</v>
      </c>
      <c r="C94" s="40">
        <f t="shared" si="35"/>
        <v>406</v>
      </c>
      <c r="D94" s="7">
        <v>406</v>
      </c>
      <c r="E94" s="73"/>
      <c r="F94" s="57">
        <v>400</v>
      </c>
      <c r="G94" s="94">
        <v>400</v>
      </c>
      <c r="H94" s="51">
        <f t="shared" si="36"/>
        <v>386</v>
      </c>
      <c r="I94" s="52">
        <v>386</v>
      </c>
      <c r="J94" s="53"/>
      <c r="K94" s="128">
        <f t="shared" si="29"/>
        <v>0.9507389162561576</v>
      </c>
      <c r="L94" s="40">
        <f t="shared" si="37"/>
        <v>0</v>
      </c>
      <c r="M94" s="7"/>
      <c r="N94" s="73"/>
    </row>
    <row r="95" spans="1:14" s="8" customFormat="1" ht="11.25">
      <c r="A95" s="17" t="s">
        <v>118</v>
      </c>
      <c r="B95" s="48" t="s">
        <v>119</v>
      </c>
      <c r="C95" s="40">
        <f t="shared" si="35"/>
        <v>59</v>
      </c>
      <c r="D95" s="7">
        <v>59</v>
      </c>
      <c r="E95" s="73"/>
      <c r="F95" s="57">
        <v>60</v>
      </c>
      <c r="G95" s="94">
        <v>60</v>
      </c>
      <c r="H95" s="51">
        <f t="shared" si="36"/>
        <v>59</v>
      </c>
      <c r="I95" s="52">
        <v>59</v>
      </c>
      <c r="J95" s="53"/>
      <c r="K95" s="128">
        <f t="shared" si="29"/>
        <v>1</v>
      </c>
      <c r="L95" s="40">
        <f t="shared" si="37"/>
        <v>0</v>
      </c>
      <c r="M95" s="7"/>
      <c r="N95" s="73"/>
    </row>
    <row r="96" spans="1:14" s="8" customFormat="1" ht="11.25">
      <c r="A96" s="17" t="s">
        <v>120</v>
      </c>
      <c r="B96" s="48" t="s">
        <v>121</v>
      </c>
      <c r="C96" s="40">
        <f t="shared" si="35"/>
        <v>260</v>
      </c>
      <c r="D96" s="7">
        <v>260</v>
      </c>
      <c r="E96" s="73"/>
      <c r="F96" s="57">
        <v>490</v>
      </c>
      <c r="G96" s="94">
        <v>490</v>
      </c>
      <c r="H96" s="51">
        <f t="shared" si="36"/>
        <v>176</v>
      </c>
      <c r="I96" s="52">
        <v>176</v>
      </c>
      <c r="J96" s="53"/>
      <c r="K96" s="128">
        <f t="shared" si="29"/>
        <v>0.676923076923077</v>
      </c>
      <c r="L96" s="40">
        <f t="shared" si="37"/>
        <v>0</v>
      </c>
      <c r="M96" s="7"/>
      <c r="N96" s="73"/>
    </row>
    <row r="97" spans="1:14" s="8" customFormat="1" ht="11.25">
      <c r="A97" s="17" t="s">
        <v>122</v>
      </c>
      <c r="B97" s="48" t="s">
        <v>27</v>
      </c>
      <c r="C97" s="40">
        <f t="shared" si="35"/>
        <v>20</v>
      </c>
      <c r="D97" s="7">
        <v>20</v>
      </c>
      <c r="E97" s="73"/>
      <c r="F97" s="57">
        <v>20</v>
      </c>
      <c r="G97" s="94">
        <v>20</v>
      </c>
      <c r="H97" s="51">
        <f t="shared" si="36"/>
        <v>1</v>
      </c>
      <c r="I97" s="52">
        <v>1</v>
      </c>
      <c r="J97" s="53"/>
      <c r="K97" s="128">
        <f t="shared" si="29"/>
        <v>0.05</v>
      </c>
      <c r="L97" s="40">
        <f t="shared" si="37"/>
        <v>0</v>
      </c>
      <c r="M97" s="7"/>
      <c r="N97" s="73"/>
    </row>
    <row r="98" spans="1:14" s="8" customFormat="1" ht="11.25">
      <c r="A98" s="17" t="s">
        <v>123</v>
      </c>
      <c r="B98" s="48" t="s">
        <v>28</v>
      </c>
      <c r="C98" s="40">
        <f t="shared" si="35"/>
        <v>20</v>
      </c>
      <c r="D98" s="7">
        <v>20</v>
      </c>
      <c r="E98" s="73"/>
      <c r="F98" s="57">
        <v>20</v>
      </c>
      <c r="G98" s="94">
        <v>20</v>
      </c>
      <c r="H98" s="51">
        <f t="shared" si="36"/>
        <v>0</v>
      </c>
      <c r="I98" s="52">
        <v>0</v>
      </c>
      <c r="J98" s="53"/>
      <c r="K98" s="128">
        <f t="shared" si="29"/>
        <v>0</v>
      </c>
      <c r="L98" s="40">
        <f t="shared" si="37"/>
        <v>0</v>
      </c>
      <c r="M98" s="7"/>
      <c r="N98" s="73"/>
    </row>
    <row r="99" spans="1:14" s="35" customFormat="1" ht="15" customHeight="1">
      <c r="A99" s="34"/>
      <c r="B99" s="49" t="s">
        <v>287</v>
      </c>
      <c r="C99" s="41">
        <f>SUM(C10:C16)+C20+SUM(C36:C37)+C46+SUM(C48:C49)+C50+C55+C58+SUM(C68:C73)+SUM(C75:C76)+C80+SUM(C83:C85)+C87+SUM(C89:C98)</f>
        <v>222584</v>
      </c>
      <c r="D99" s="14">
        <f>SUM(D10:D16)+D20+SUM(D36:D37)+D46+SUM(D48:D49)+D50+D55+D58+SUM(D68:D73)+SUM(D75:D76)+D80+SUM(D83:D85)+D87+SUM(D89:D98)</f>
        <v>164550</v>
      </c>
      <c r="E99" s="77">
        <f>E10+E11+E12+E13+E14+E15+E16+E20+E36+E46+E48+E50+E55+E68+E69+E71+E72+E73+E75+E76+E80+E83+E84+E85+E87+E89+E90+E91+E92+E93+E94+E96+E95+E97+E98</f>
        <v>58034</v>
      </c>
      <c r="F99" s="59">
        <f>SUM(F10:F16)+F20+SUM(F36:F37)+F46+SUM(F48:F49)+F55+F58+SUM(F68:F73)+SUM(F75:F76)+F80+SUM(F83:F85)+F87+SUM(F89:F98)</f>
        <v>213045</v>
      </c>
      <c r="G99" s="133">
        <f>SUM(G10:G16)+G20+SUM(G36:G37)+G46+SUM(G48:G49)+G55+G58+SUM(G68:G73)+SUM(G75:G76)+G80+SUM(G83:G85)+G87+SUM(G89:G98)</f>
        <v>203518</v>
      </c>
      <c r="H99" s="58">
        <f>H10+H11+H12+H13+H14+H15+H16+H20+H36+H37+H46+H48+H49+H50+H55+H58+H68+H69+H71+H72+H73+H75+H76+H80+H83+H84+H85+H87+H89+H90+H91+H92+H93+H94+H95+H96+H97+H98</f>
        <v>190142</v>
      </c>
      <c r="I99" s="65">
        <f>I10+I11+I12+I13+I14+I15+I16+I20+I36+I37+I46+I48+I49+I50+I55+I58+I68+I69+I71+I72+I73+I75+I76+I80+I83+I84+I85+I87+I89+I90+I91+I92+I93+I94+I95+I96+I97+I98</f>
        <v>156214</v>
      </c>
      <c r="J99" s="72">
        <f>J10+J11+J12+J13+J14+J15+J16+J20+J36+J46+J48+J50+J55+J68+J69+J71+J72+J73+J75+J76+J80+J83+J84+J85+J87+J89+J90+J91+J92+J93+J94+J96+J95+J97+J98</f>
        <v>33928</v>
      </c>
      <c r="K99" s="129">
        <f t="shared" si="29"/>
        <v>0.8542482837939834</v>
      </c>
      <c r="L99" s="41">
        <f>SUM(L10:L16)+L20+SUM(L36:L37)+L46+SUM(L48:L49)+L55+L58+SUM(L68:L73)+SUM(L75:L76)+L80+SUM(L83:L85)+L87+SUM(L89:L98)</f>
        <v>3789</v>
      </c>
      <c r="M99" s="14">
        <f>SUM(M10:M16)+M20+SUM(M36:M37)+M46+SUM(M48:M49)+M55+M58+SUM(M68:M73)+SUM(M75:M76)+M80+SUM(M83:M85)+M87+SUM(M89:M98)</f>
        <v>3789</v>
      </c>
      <c r="N99" s="76">
        <f>SUM(N10:N16)+N20+SUM(N36:N37)+N46+SUM(N48:N49)+N55+N58+SUM(N68:N73)+SUM(N75:N76)+N80+SUM(N83:N85)+N87+SUM(N89:N98)</f>
        <v>0</v>
      </c>
    </row>
    <row r="100" spans="1:14" s="8" customFormat="1" ht="11.25">
      <c r="A100" s="20"/>
      <c r="B100" s="5"/>
      <c r="C100" s="40"/>
      <c r="D100" s="7"/>
      <c r="E100" s="73"/>
      <c r="F100" s="57"/>
      <c r="G100" s="94"/>
      <c r="H100" s="51"/>
      <c r="I100" s="52"/>
      <c r="J100" s="53"/>
      <c r="K100" s="128"/>
      <c r="L100" s="82"/>
      <c r="M100" s="21"/>
      <c r="N100" s="83"/>
    </row>
    <row r="101" spans="1:14" s="8" customFormat="1" ht="11.25">
      <c r="A101" s="17"/>
      <c r="B101" s="48" t="s">
        <v>124</v>
      </c>
      <c r="C101" s="40">
        <f>D101+E101</f>
        <v>117817</v>
      </c>
      <c r="D101" s="7">
        <v>115464</v>
      </c>
      <c r="E101" s="73">
        <v>2353</v>
      </c>
      <c r="F101" s="57">
        <v>118500</v>
      </c>
      <c r="G101" s="94">
        <v>120000</v>
      </c>
      <c r="H101" s="51">
        <f>I101+J101</f>
        <v>117817</v>
      </c>
      <c r="I101" s="52">
        <v>115464</v>
      </c>
      <c r="J101" s="53">
        <v>2353</v>
      </c>
      <c r="K101" s="128">
        <f>H101/C101</f>
        <v>1</v>
      </c>
      <c r="L101" s="40">
        <f>M101+N101</f>
        <v>0</v>
      </c>
      <c r="M101" s="7"/>
      <c r="N101" s="73"/>
    </row>
    <row r="102" spans="1:14" s="35" customFormat="1" ht="15" customHeight="1">
      <c r="A102" s="34"/>
      <c r="B102" s="49" t="s">
        <v>128</v>
      </c>
      <c r="C102" s="41">
        <f>C99+C101</f>
        <v>340401</v>
      </c>
      <c r="D102" s="14">
        <f>D99+D101</f>
        <v>280014</v>
      </c>
      <c r="E102" s="77">
        <f>E99+E101</f>
        <v>60387</v>
      </c>
      <c r="F102" s="59">
        <f aca="true" t="shared" si="38" ref="F102:N102">F99+F101</f>
        <v>331545</v>
      </c>
      <c r="G102" s="133">
        <f t="shared" si="38"/>
        <v>323518</v>
      </c>
      <c r="H102" s="58">
        <f t="shared" si="38"/>
        <v>307959</v>
      </c>
      <c r="I102" s="65">
        <f t="shared" si="38"/>
        <v>271678</v>
      </c>
      <c r="J102" s="72">
        <f t="shared" si="38"/>
        <v>36281</v>
      </c>
      <c r="K102" s="129">
        <f>H102/C102</f>
        <v>0.904694757065931</v>
      </c>
      <c r="L102" s="41">
        <f t="shared" si="38"/>
        <v>3789</v>
      </c>
      <c r="M102" s="50">
        <f t="shared" si="38"/>
        <v>3789</v>
      </c>
      <c r="N102" s="76">
        <f t="shared" si="38"/>
        <v>0</v>
      </c>
    </row>
    <row r="103" spans="1:14" s="23" customFormat="1" ht="11.25">
      <c r="A103" s="22"/>
      <c r="C103" s="84"/>
      <c r="D103" s="24"/>
      <c r="E103" s="85"/>
      <c r="F103" s="63"/>
      <c r="G103" s="71"/>
      <c r="H103" s="63"/>
      <c r="I103" s="64"/>
      <c r="J103" s="64"/>
      <c r="K103" s="91"/>
      <c r="L103" s="84"/>
      <c r="M103" s="24"/>
      <c r="N103" s="85"/>
    </row>
    <row r="104" spans="1:14" s="8" customFormat="1" ht="11.25">
      <c r="A104" s="16"/>
      <c r="B104" s="47" t="s">
        <v>127</v>
      </c>
      <c r="C104" s="39">
        <f>E104+D104</f>
        <v>3160</v>
      </c>
      <c r="D104" s="13">
        <v>3160</v>
      </c>
      <c r="E104" s="74"/>
      <c r="F104" s="54">
        <v>4800</v>
      </c>
      <c r="G104" s="69">
        <v>4800</v>
      </c>
      <c r="H104" s="54">
        <f>J104+I104</f>
        <v>3102</v>
      </c>
      <c r="I104" s="55">
        <v>3102</v>
      </c>
      <c r="J104" s="93"/>
      <c r="K104" s="91">
        <f>H104/C104</f>
        <v>0.9816455696202532</v>
      </c>
      <c r="L104" s="39">
        <f>N104+M104</f>
        <v>0</v>
      </c>
      <c r="M104" s="13"/>
      <c r="N104" s="74"/>
    </row>
    <row r="105" spans="1:14" s="8" customFormat="1" ht="11.25">
      <c r="A105" s="16"/>
      <c r="B105" s="47" t="s">
        <v>126</v>
      </c>
      <c r="C105" s="39">
        <f>E105+D105</f>
        <v>2894</v>
      </c>
      <c r="D105" s="13">
        <v>2894</v>
      </c>
      <c r="E105" s="74"/>
      <c r="F105" s="54">
        <v>1900</v>
      </c>
      <c r="G105" s="69">
        <v>1900</v>
      </c>
      <c r="H105" s="54">
        <f>J105+I105</f>
        <v>2844</v>
      </c>
      <c r="I105" s="55">
        <v>2844</v>
      </c>
      <c r="J105" s="93"/>
      <c r="K105" s="91">
        <f>H105/C105</f>
        <v>0.9827228749136143</v>
      </c>
      <c r="L105" s="39">
        <f>N105+M105</f>
        <v>0</v>
      </c>
      <c r="M105" s="13"/>
      <c r="N105" s="74"/>
    </row>
    <row r="106" spans="1:14" s="8" customFormat="1" ht="11.25">
      <c r="A106" s="16"/>
      <c r="B106" s="47" t="s">
        <v>125</v>
      </c>
      <c r="C106" s="39">
        <f>E106+D106</f>
        <v>340</v>
      </c>
      <c r="D106" s="13">
        <v>340</v>
      </c>
      <c r="E106" s="74"/>
      <c r="F106" s="54">
        <v>400</v>
      </c>
      <c r="G106" s="69">
        <v>400</v>
      </c>
      <c r="H106" s="54">
        <f>J106+I106</f>
        <v>142</v>
      </c>
      <c r="I106" s="55">
        <v>142</v>
      </c>
      <c r="J106" s="93"/>
      <c r="K106" s="91">
        <f>H106/C106</f>
        <v>0.4176470588235294</v>
      </c>
      <c r="L106" s="39">
        <f>N106+M106</f>
        <v>0</v>
      </c>
      <c r="M106" s="13"/>
      <c r="N106" s="74"/>
    </row>
    <row r="107" spans="1:14" s="8" customFormat="1" ht="11.25">
      <c r="A107" s="16"/>
      <c r="B107" s="47" t="s">
        <v>196</v>
      </c>
      <c r="C107" s="39">
        <f>E107+D107</f>
        <v>4294</v>
      </c>
      <c r="D107" s="96">
        <v>4294</v>
      </c>
      <c r="E107" s="97"/>
      <c r="F107" s="98"/>
      <c r="G107" s="99"/>
      <c r="H107" s="54">
        <f>J107+I107</f>
        <v>4294</v>
      </c>
      <c r="I107" s="100">
        <v>4294</v>
      </c>
      <c r="J107" s="101"/>
      <c r="K107" s="91">
        <f>H107/C107</f>
        <v>1</v>
      </c>
      <c r="L107" s="39">
        <f>N107+M107</f>
        <v>0</v>
      </c>
      <c r="M107" s="96"/>
      <c r="N107" s="97"/>
    </row>
    <row r="108" spans="1:14" s="8" customFormat="1" ht="11.25">
      <c r="A108" s="16"/>
      <c r="B108" s="47" t="s">
        <v>197</v>
      </c>
      <c r="C108" s="95">
        <f>E108+D108</f>
        <v>1100</v>
      </c>
      <c r="D108" s="96">
        <v>1100</v>
      </c>
      <c r="E108" s="97"/>
      <c r="F108" s="98"/>
      <c r="G108" s="99"/>
      <c r="H108" s="98">
        <f>J108+I108</f>
        <v>1100</v>
      </c>
      <c r="I108" s="100">
        <v>1100</v>
      </c>
      <c r="J108" s="101"/>
      <c r="K108" s="102">
        <v>1</v>
      </c>
      <c r="L108" s="39">
        <f>N108+M108</f>
        <v>0</v>
      </c>
      <c r="M108" s="96"/>
      <c r="N108" s="97"/>
    </row>
    <row r="109" spans="1:14" s="8" customFormat="1" ht="12" thickBot="1">
      <c r="A109" s="33"/>
      <c r="B109" s="48" t="s">
        <v>31</v>
      </c>
      <c r="C109" s="42">
        <f>SUM(C104:C108)</f>
        <v>11788</v>
      </c>
      <c r="D109" s="80">
        <f>SUM(D104:D108)</f>
        <v>11788</v>
      </c>
      <c r="E109" s="81">
        <f>SUM(E104:E106)</f>
        <v>0</v>
      </c>
      <c r="F109" s="60">
        <f>SUM(F104:F106)</f>
        <v>7100</v>
      </c>
      <c r="G109" s="70">
        <f>SUM(G104:G106)</f>
        <v>7100</v>
      </c>
      <c r="H109" s="60">
        <f>SUM(H104:H108)</f>
        <v>11482</v>
      </c>
      <c r="I109" s="61">
        <f>SUM(I104:I108)</f>
        <v>11482</v>
      </c>
      <c r="J109" s="89">
        <f>SUM(J104:J106)</f>
        <v>0</v>
      </c>
      <c r="K109" s="92">
        <f>H109/C109</f>
        <v>0.9740413980318968</v>
      </c>
      <c r="L109" s="42">
        <f>SUM(L104:L108)</f>
        <v>0</v>
      </c>
      <c r="M109" s="80">
        <f>SUM(M104:M108)</f>
        <v>0</v>
      </c>
      <c r="N109" s="81">
        <f>SUM(N104:N106)</f>
        <v>0</v>
      </c>
    </row>
    <row r="110" ht="6.75" customHeight="1"/>
    <row r="111" spans="1:12" s="29" customFormat="1" ht="15">
      <c r="A111" s="32"/>
      <c r="B111" s="29" t="s">
        <v>166</v>
      </c>
      <c r="C111" s="30">
        <f>C99+C101+C109</f>
        <v>352189</v>
      </c>
      <c r="F111" s="30">
        <f>F99+F101+F109</f>
        <v>338645</v>
      </c>
      <c r="G111" s="30">
        <f>G99+G101+G109</f>
        <v>330618</v>
      </c>
      <c r="H111" s="30">
        <f>H99+H101+H109</f>
        <v>319441</v>
      </c>
      <c r="K111" s="43">
        <f>H111/C111</f>
        <v>0.9070158352475517</v>
      </c>
      <c r="L111" s="30">
        <f>L99+L101+L109</f>
        <v>3789</v>
      </c>
    </row>
    <row r="112" ht="7.5" customHeight="1"/>
    <row r="113" spans="1:13" s="35" customFormat="1" ht="12.75">
      <c r="A113" s="36"/>
      <c r="B113" s="35" t="s">
        <v>167</v>
      </c>
      <c r="D113" s="37">
        <f>príjmy!C94-výdavky!C111</f>
        <v>103433</v>
      </c>
      <c r="F113" s="37">
        <f>príjmy!F94-výdavky!F111</f>
        <v>-36695</v>
      </c>
      <c r="G113" s="37">
        <f>príjmy!G94-výdavky!G111</f>
        <v>-24129</v>
      </c>
      <c r="I113" s="37">
        <f>príjmy!H94-výdavky!H111</f>
        <v>102980</v>
      </c>
      <c r="M113" s="37">
        <f>príjmy!L94-výdavky!L111</f>
        <v>11</v>
      </c>
    </row>
  </sheetData>
  <mergeCells count="14">
    <mergeCell ref="L70:N70"/>
    <mergeCell ref="L38:N38"/>
    <mergeCell ref="L64:N64"/>
    <mergeCell ref="A2:B2"/>
    <mergeCell ref="F2:F3"/>
    <mergeCell ref="G2:G3"/>
    <mergeCell ref="C2:C3"/>
    <mergeCell ref="D2:E2"/>
    <mergeCell ref="L23:N23"/>
    <mergeCell ref="H2:H3"/>
    <mergeCell ref="I2:J2"/>
    <mergeCell ref="L2:L3"/>
    <mergeCell ref="M2:N2"/>
    <mergeCell ref="K2:K3"/>
  </mergeCells>
  <printOptions/>
  <pageMargins left="0.5" right="0.1968503937007874" top="0.29" bottom="0.22" header="0.41" footer="0.2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Púchov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Lucia Labudíková</dc:creator>
  <cp:keywords/>
  <dc:description/>
  <cp:lastModifiedBy>Ing. Lucia Labudíková</cp:lastModifiedBy>
  <cp:lastPrinted>2008-11-20T06:58:06Z</cp:lastPrinted>
  <dcterms:created xsi:type="dcterms:W3CDTF">2005-07-07T08:31:29Z</dcterms:created>
  <dcterms:modified xsi:type="dcterms:W3CDTF">2009-04-17T10:15:39Z</dcterms:modified>
  <cp:category/>
  <cp:version/>
  <cp:contentType/>
  <cp:contentStatus/>
</cp:coreProperties>
</file>